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830" windowHeight="5835" firstSheet="1" activeTab="2"/>
  </bookViews>
  <sheets>
    <sheet name="חשבון רכיבים" sheetId="1" r:id="rId1"/>
    <sheet name="חלב עודף והעברה בין עונות" sheetId="2" r:id="rId2"/>
    <sheet name="תמריץ לשומן גבוה" sheetId="3" r:id="rId3"/>
    <sheet name="ריכוז רכיבים - כולל תמריץ שומן" sheetId="4" r:id="rId4"/>
    <sheet name="חישוב שנתי" sheetId="5" r:id="rId5"/>
  </sheets>
  <calcPr calcId="145621"/>
</workbook>
</file>

<file path=xl/calcChain.xml><?xml version="1.0" encoding="utf-8"?>
<calcChain xmlns="http://schemas.openxmlformats.org/spreadsheetml/2006/main">
  <c r="U33" i="4" l="1"/>
  <c r="M17" i="5" l="1"/>
  <c r="N17" i="5"/>
  <c r="M11" i="5"/>
  <c r="L11" i="5"/>
  <c r="L12" i="5"/>
  <c r="L13" i="5"/>
  <c r="L14" i="5"/>
  <c r="K11" i="5"/>
  <c r="K12" i="5"/>
  <c r="K13" i="5"/>
  <c r="K14" i="5"/>
  <c r="K3" i="5"/>
  <c r="L3" i="5" s="1"/>
  <c r="I11" i="5"/>
  <c r="J11" i="5" s="1"/>
  <c r="N11" i="5" s="1"/>
  <c r="I12" i="5"/>
  <c r="M12" i="5" s="1"/>
  <c r="I13" i="5"/>
  <c r="M13" i="5" s="1"/>
  <c r="I14" i="5"/>
  <c r="M14" i="5" s="1"/>
  <c r="I3" i="5"/>
  <c r="J3" i="5" s="1"/>
  <c r="H4" i="5"/>
  <c r="I4" i="5" s="1"/>
  <c r="H5" i="5"/>
  <c r="I5" i="5" s="1"/>
  <c r="H6" i="5"/>
  <c r="I6" i="5" s="1"/>
  <c r="H7" i="5"/>
  <c r="I7" i="5" s="1"/>
  <c r="J7" i="5" s="1"/>
  <c r="H8" i="5"/>
  <c r="I8" i="5" s="1"/>
  <c r="H9" i="5"/>
  <c r="I9" i="5" s="1"/>
  <c r="H10" i="5"/>
  <c r="I10" i="5" s="1"/>
  <c r="H11" i="5"/>
  <c r="H12" i="5"/>
  <c r="H13" i="5"/>
  <c r="H14" i="5"/>
  <c r="H3" i="5"/>
  <c r="N3" i="5" l="1"/>
  <c r="J10" i="5"/>
  <c r="M8" i="5"/>
  <c r="J9" i="5"/>
  <c r="J8" i="5"/>
  <c r="N8" i="5" s="1"/>
  <c r="K10" i="5"/>
  <c r="L10" i="5" s="1"/>
  <c r="M3" i="5"/>
  <c r="K7" i="5"/>
  <c r="L7" i="5" s="1"/>
  <c r="N7" i="5" s="1"/>
  <c r="J5" i="5"/>
  <c r="N5" i="5" s="1"/>
  <c r="J4" i="5"/>
  <c r="N4" i="5" s="1"/>
  <c r="K9" i="5"/>
  <c r="L9" i="5" s="1"/>
  <c r="J14" i="5"/>
  <c r="N14" i="5" s="1"/>
  <c r="J12" i="5"/>
  <c r="N12" i="5" s="1"/>
  <c r="J6" i="5"/>
  <c r="K8" i="5"/>
  <c r="L8" i="5" s="1"/>
  <c r="J13" i="5"/>
  <c r="N13" i="5" s="1"/>
  <c r="K6" i="5"/>
  <c r="L6" i="5" s="1"/>
  <c r="K5" i="5"/>
  <c r="L5" i="5" s="1"/>
  <c r="K4" i="5"/>
  <c r="L4" i="5" s="1"/>
  <c r="L15" i="5" s="1"/>
  <c r="G14" i="5"/>
  <c r="G13" i="5"/>
  <c r="G10" i="5"/>
  <c r="G4" i="5"/>
  <c r="G12" i="5"/>
  <c r="G9" i="5"/>
  <c r="G8" i="5"/>
  <c r="G5" i="5"/>
  <c r="G11" i="5"/>
  <c r="G7" i="5"/>
  <c r="G6" i="5"/>
  <c r="C15" i="5"/>
  <c r="H15" i="5" s="1"/>
  <c r="AC16" i="2"/>
  <c r="K15" i="5" l="1"/>
  <c r="N9" i="5"/>
  <c r="M10" i="5"/>
  <c r="M7" i="5"/>
  <c r="M9" i="5"/>
  <c r="N10" i="5"/>
  <c r="M5" i="5"/>
  <c r="M6" i="5"/>
  <c r="N6" i="5"/>
  <c r="N15" i="5"/>
  <c r="J15" i="5"/>
  <c r="I15" i="5" s="1"/>
  <c r="M4" i="5"/>
  <c r="E6" i="5"/>
  <c r="E8" i="5"/>
  <c r="E9" i="5"/>
  <c r="E10" i="5"/>
  <c r="E11" i="5"/>
  <c r="E12" i="5"/>
  <c r="E13" i="5"/>
  <c r="E14" i="5"/>
  <c r="E4" i="5"/>
  <c r="E7" i="5"/>
  <c r="E5" i="5"/>
  <c r="G3" i="5"/>
  <c r="G15" i="5" s="1"/>
  <c r="F15" i="5" s="1"/>
  <c r="C26" i="5" s="1"/>
  <c r="E3" i="5"/>
  <c r="T30" i="4"/>
  <c r="K31" i="4"/>
  <c r="J5" i="4"/>
  <c r="E31" i="4"/>
  <c r="E35" i="4" s="1"/>
  <c r="D16" i="4"/>
  <c r="G47" i="3"/>
  <c r="H47" i="3"/>
  <c r="I47" i="3"/>
  <c r="J47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52" i="3"/>
  <c r="H52" i="3"/>
  <c r="I52" i="3"/>
  <c r="J52" i="3"/>
  <c r="G53" i="3"/>
  <c r="H53" i="3"/>
  <c r="I53" i="3"/>
  <c r="J53" i="3"/>
  <c r="G54" i="3"/>
  <c r="H54" i="3"/>
  <c r="I54" i="3"/>
  <c r="J54" i="3"/>
  <c r="G55" i="3"/>
  <c r="H55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G60" i="3"/>
  <c r="H60" i="3"/>
  <c r="I60" i="3"/>
  <c r="J60" i="3"/>
  <c r="G61" i="3"/>
  <c r="H61" i="3"/>
  <c r="I61" i="3"/>
  <c r="J61" i="3"/>
  <c r="G62" i="3"/>
  <c r="H62" i="3"/>
  <c r="I62" i="3"/>
  <c r="J62" i="3"/>
  <c r="G63" i="3"/>
  <c r="H63" i="3"/>
  <c r="I63" i="3"/>
  <c r="J63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47" i="3"/>
  <c r="E46" i="3"/>
  <c r="E35" i="3"/>
  <c r="E57" i="3" s="1"/>
  <c r="J13" i="3"/>
  <c r="I7" i="3"/>
  <c r="J7" i="3" s="1"/>
  <c r="K7" i="3" s="1"/>
  <c r="I6" i="3"/>
  <c r="I5" i="3"/>
  <c r="M15" i="5" l="1"/>
  <c r="A23" i="5"/>
  <c r="A24" i="5"/>
  <c r="F24" i="5" s="1"/>
  <c r="A22" i="5"/>
  <c r="F22" i="5" s="1"/>
  <c r="E15" i="5"/>
  <c r="D15" i="5" s="1"/>
  <c r="J5" i="3"/>
  <c r="K5" i="3" s="1"/>
  <c r="L5" i="3" s="1"/>
  <c r="T29" i="4"/>
  <c r="T31" i="4"/>
  <c r="U31" i="4" s="1"/>
  <c r="V31" i="4" s="1"/>
  <c r="E33" i="4"/>
  <c r="J6" i="3"/>
  <c r="K6" i="3" s="1"/>
  <c r="K8" i="3" s="1"/>
  <c r="AH16" i="2"/>
  <c r="AD16" i="2"/>
  <c r="AB16" i="2"/>
  <c r="AE3" i="2"/>
  <c r="AA4" i="2" s="1"/>
  <c r="U29" i="4" l="1"/>
  <c r="V29" i="4" s="1"/>
  <c r="W29" i="4" s="1"/>
  <c r="G22" i="5"/>
  <c r="G24" i="5"/>
  <c r="F23" i="5"/>
  <c r="F25" i="5" s="1"/>
  <c r="W31" i="4"/>
  <c r="U30" i="4"/>
  <c r="V30" i="4" s="1"/>
  <c r="E34" i="4"/>
  <c r="K30" i="4" s="1"/>
  <c r="K29" i="4"/>
  <c r="L6" i="3"/>
  <c r="L7" i="3"/>
  <c r="L8" i="3" s="1"/>
  <c r="AE4" i="2"/>
  <c r="AG4" i="2"/>
  <c r="G45" i="2"/>
  <c r="G46" i="2"/>
  <c r="G47" i="2"/>
  <c r="G48" i="2"/>
  <c r="G49" i="2"/>
  <c r="G50" i="2"/>
  <c r="G51" i="2"/>
  <c r="G52" i="2"/>
  <c r="G53" i="2"/>
  <c r="G54" i="2"/>
  <c r="G55" i="2"/>
  <c r="G44" i="2"/>
  <c r="I6" i="2"/>
  <c r="I7" i="2"/>
  <c r="I8" i="2"/>
  <c r="I9" i="2"/>
  <c r="I10" i="2"/>
  <c r="I11" i="2"/>
  <c r="I12" i="2" s="1"/>
  <c r="I13" i="2" s="1"/>
  <c r="I14" i="2" s="1"/>
  <c r="I15" i="2" s="1"/>
  <c r="I5" i="2"/>
  <c r="I4" i="2"/>
  <c r="G16" i="2"/>
  <c r="H53" i="2"/>
  <c r="H50" i="2"/>
  <c r="H47" i="2"/>
  <c r="H44" i="2"/>
  <c r="V32" i="4" l="1"/>
  <c r="G23" i="5"/>
  <c r="G25" i="5"/>
  <c r="M16" i="5" s="1"/>
  <c r="N16" i="5" s="1"/>
  <c r="W30" i="4"/>
  <c r="W32" i="4" s="1"/>
  <c r="K32" i="4" s="1"/>
  <c r="K17" i="3"/>
  <c r="L10" i="3"/>
  <c r="L9" i="3"/>
  <c r="AA5" i="2"/>
  <c r="L17" i="5" l="1"/>
  <c r="K17" i="5" s="1"/>
  <c r="K33" i="4"/>
  <c r="D5" i="4" s="1"/>
  <c r="AE5" i="2"/>
  <c r="AG5" i="2"/>
  <c r="F67" i="2"/>
  <c r="D87" i="2"/>
  <c r="J86" i="2"/>
  <c r="E67" i="2" s="1"/>
  <c r="D86" i="2"/>
  <c r="J85" i="2"/>
  <c r="D67" i="2" s="1"/>
  <c r="K74" i="2"/>
  <c r="J74" i="2"/>
  <c r="K73" i="2"/>
  <c r="J73" i="2"/>
  <c r="G63" i="2"/>
  <c r="E63" i="2"/>
  <c r="G56" i="2"/>
  <c r="F63" i="2" s="1"/>
  <c r="E55" i="2"/>
  <c r="E54" i="2"/>
  <c r="E53" i="2"/>
  <c r="F53" i="2" s="1"/>
  <c r="H13" i="2" s="1"/>
  <c r="E52" i="2"/>
  <c r="E51" i="2"/>
  <c r="H54" i="2"/>
  <c r="H55" i="2" s="1"/>
  <c r="E50" i="2"/>
  <c r="E49" i="2"/>
  <c r="H48" i="2"/>
  <c r="E48" i="2"/>
  <c r="E47" i="2"/>
  <c r="E46" i="2"/>
  <c r="H45" i="2"/>
  <c r="E45" i="2"/>
  <c r="E44" i="2"/>
  <c r="H46" i="2" l="1"/>
  <c r="AA6" i="2"/>
  <c r="F54" i="2"/>
  <c r="H14" i="2" s="1"/>
  <c r="F55" i="2"/>
  <c r="H15" i="2" s="1"/>
  <c r="F49" i="2"/>
  <c r="H9" i="2" s="1"/>
  <c r="F47" i="2"/>
  <c r="H7" i="2" s="1"/>
  <c r="F48" i="2"/>
  <c r="H8" i="2" s="1"/>
  <c r="F50" i="2"/>
  <c r="H10" i="2" s="1"/>
  <c r="D63" i="2"/>
  <c r="L73" i="2"/>
  <c r="J78" i="2" s="1"/>
  <c r="E56" i="2"/>
  <c r="H49" i="2"/>
  <c r="H57" i="2" s="1"/>
  <c r="F51" i="2"/>
  <c r="H11" i="2" s="1"/>
  <c r="F44" i="2"/>
  <c r="H4" i="2" s="1"/>
  <c r="H51" i="2"/>
  <c r="H52" i="2" s="1"/>
  <c r="F45" i="2"/>
  <c r="H5" i="2" s="1"/>
  <c r="F52" i="2"/>
  <c r="H12" i="2" s="1"/>
  <c r="F46" i="2"/>
  <c r="H6" i="2" s="1"/>
  <c r="L75" i="2" l="1"/>
  <c r="C16" i="2"/>
  <c r="AG6" i="2"/>
  <c r="AE6" i="2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H16" i="2"/>
  <c r="K78" i="2"/>
  <c r="C87" i="2"/>
  <c r="F87" i="2"/>
  <c r="E87" i="2"/>
  <c r="G62" i="2"/>
  <c r="G64" i="2" s="1"/>
  <c r="F56" i="2"/>
  <c r="F62" i="2" s="1"/>
  <c r="C86" i="2"/>
  <c r="L74" i="2"/>
  <c r="E62" i="2"/>
  <c r="H56" i="2"/>
  <c r="AA7" i="2" l="1"/>
  <c r="J79" i="2"/>
  <c r="K79" i="2"/>
  <c r="F86" i="2"/>
  <c r="C92" i="2" s="1"/>
  <c r="C36" i="2" s="1"/>
  <c r="D36" i="2" s="1"/>
  <c r="E86" i="2"/>
  <c r="C91" i="2" s="1"/>
  <c r="C37" i="2" s="1"/>
  <c r="D37" i="2" s="1"/>
  <c r="D62" i="2"/>
  <c r="F64" i="2"/>
  <c r="G66" i="2"/>
  <c r="G65" i="2"/>
  <c r="AG7" i="2" l="1"/>
  <c r="AE7" i="2"/>
  <c r="F77" i="2"/>
  <c r="F30" i="2" s="1"/>
  <c r="F22" i="2"/>
  <c r="C93" i="2"/>
  <c r="C94" i="2" s="1"/>
  <c r="F71" i="2"/>
  <c r="F65" i="2"/>
  <c r="E64" i="2"/>
  <c r="D64" i="2" s="1"/>
  <c r="D65" i="2" s="1"/>
  <c r="AA8" i="2" l="1"/>
  <c r="E71" i="2"/>
  <c r="D71" i="2" s="1"/>
  <c r="E65" i="2"/>
  <c r="F69" i="2"/>
  <c r="AE8" i="2" l="1"/>
  <c r="AG8" i="2"/>
  <c r="F70" i="2"/>
  <c r="AA9" i="2" l="1"/>
  <c r="E70" i="2"/>
  <c r="D21" i="2" s="1"/>
  <c r="AE9" i="2" l="1"/>
  <c r="AA10" i="2" s="1"/>
  <c r="AG9" i="2"/>
  <c r="E75" i="2"/>
  <c r="D29" i="2" s="1"/>
  <c r="E69" i="2"/>
  <c r="D20" i="2" s="1"/>
  <c r="D22" i="2" s="1"/>
  <c r="D70" i="2"/>
  <c r="AE10" i="2" l="1"/>
  <c r="AA11" i="2" s="1"/>
  <c r="AG10" i="2"/>
  <c r="D75" i="2"/>
  <c r="C21" i="2"/>
  <c r="E21" i="2" s="1"/>
  <c r="D23" i="2"/>
  <c r="F75" i="2"/>
  <c r="C29" i="2"/>
  <c r="E29" i="2" s="1"/>
  <c r="E74" i="2"/>
  <c r="D69" i="2"/>
  <c r="AE11" i="2" l="1"/>
  <c r="AA12" i="2" s="1"/>
  <c r="AG11" i="2"/>
  <c r="D74" i="2"/>
  <c r="C28" i="2" s="1"/>
  <c r="C20" i="2"/>
  <c r="C30" i="2"/>
  <c r="E76" i="2"/>
  <c r="D28" i="2"/>
  <c r="D30" i="2" s="1"/>
  <c r="D76" i="2"/>
  <c r="F76" i="2" s="1"/>
  <c r="F78" i="2" s="1"/>
  <c r="F74" i="2"/>
  <c r="AE12" i="2" l="1"/>
  <c r="AA13" i="2" s="1"/>
  <c r="AG12" i="2"/>
  <c r="E20" i="2"/>
  <c r="C22" i="2"/>
  <c r="E28" i="2"/>
  <c r="E30" i="2"/>
  <c r="D97" i="2"/>
  <c r="F79" i="2"/>
  <c r="G79" i="2" s="1"/>
  <c r="F80" i="2"/>
  <c r="G80" i="2" s="1"/>
  <c r="AE13" i="2" l="1"/>
  <c r="AA14" i="2" s="1"/>
  <c r="AG13" i="2"/>
  <c r="D38" i="2"/>
  <c r="C31" i="2"/>
  <c r="C33" i="2" s="1"/>
  <c r="D33" i="2" s="1"/>
  <c r="C23" i="2"/>
  <c r="E22" i="2"/>
  <c r="C22" i="1"/>
  <c r="C17" i="1"/>
  <c r="C23" i="1" l="1"/>
  <c r="AE14" i="2"/>
  <c r="AA15" i="2" s="1"/>
  <c r="AG14" i="2"/>
  <c r="C32" i="2"/>
  <c r="D32" i="2" s="1"/>
  <c r="E23" i="2"/>
  <c r="D24" i="2"/>
  <c r="C24" i="2"/>
  <c r="E24" i="2" s="1"/>
  <c r="C18" i="1"/>
  <c r="AE15" i="2" l="1"/>
  <c r="AE16" i="2" s="1"/>
  <c r="AG15" i="2"/>
  <c r="AG16" i="2" s="1"/>
  <c r="AA16" i="2"/>
  <c r="C9" i="1"/>
  <c r="C13" i="1" s="1"/>
  <c r="C11" i="1" s="1"/>
  <c r="J14" i="3" s="1"/>
  <c r="K16" i="3" s="1"/>
  <c r="K18" i="3" s="1"/>
  <c r="K19" i="3" s="1"/>
  <c r="E24" i="3" s="1"/>
  <c r="AF16" i="2" l="1"/>
  <c r="C12" i="1"/>
  <c r="C21" i="1" s="1"/>
  <c r="C20" i="1"/>
  <c r="C27" i="1" s="1"/>
  <c r="C33" i="1" s="1"/>
  <c r="C28" i="1" l="1"/>
  <c r="C30" i="1"/>
</calcChain>
</file>

<file path=xl/comments1.xml><?xml version="1.0" encoding="utf-8"?>
<comments xmlns="http://schemas.openxmlformats.org/spreadsheetml/2006/main">
  <authors>
    <author>liron</author>
  </authors>
  <commentList>
    <comment ref="K69" authorId="0">
      <text>
        <r>
          <rPr>
            <b/>
            <sz val="9"/>
            <color indexed="81"/>
            <rFont val="Tahoma"/>
            <family val="2"/>
          </rPr>
          <t>לא מובטח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<sst xmlns="http://schemas.openxmlformats.org/spreadsheetml/2006/main" count="281" uniqueCount="179">
  <si>
    <t>שומן - נורמטיבי</t>
  </si>
  <si>
    <t>חלבון - נורמטיבים</t>
  </si>
  <si>
    <t>משקל השומן</t>
  </si>
  <si>
    <t>משקל החלבון</t>
  </si>
  <si>
    <t>נוזלים</t>
  </si>
  <si>
    <t>ערך שומן</t>
  </si>
  <si>
    <t>ערך חלבון</t>
  </si>
  <si>
    <t>2021</t>
  </si>
  <si>
    <t>יחס חלבון שומן</t>
  </si>
  <si>
    <t>הרכיבים הנורמטיבים בהתאם לממוצע הארצי בשנת 2019</t>
  </si>
  <si>
    <t>מחיר מטרה</t>
  </si>
  <si>
    <t>היטל מועצה</t>
  </si>
  <si>
    <t>מחיר מטרה כולל היטל</t>
  </si>
  <si>
    <t>שומן ש"ח לק"ג</t>
  </si>
  <si>
    <t>חלבון ש"ח לק"ג</t>
  </si>
  <si>
    <t>נוזלים ש"ח לליטר</t>
  </si>
  <si>
    <t>נוזלים כולל היטל ש"ח לליטר</t>
  </si>
  <si>
    <t>שומן בפועל</t>
  </si>
  <si>
    <t>חלבון בפועל</t>
  </si>
  <si>
    <t>מחיר אפקטיבי</t>
  </si>
  <si>
    <t>מחיר אפקטיבי כולל היטל</t>
  </si>
  <si>
    <t>"פרס/קנס רכיבים"</t>
  </si>
  <si>
    <t>רפת</t>
  </si>
  <si>
    <t>אלמוני</t>
  </si>
  <si>
    <t>מחלבה</t>
  </si>
  <si>
    <t>פלונית</t>
  </si>
  <si>
    <t>סוג אזור</t>
  </si>
  <si>
    <t>רגיל=1 עמקים חמים= 0</t>
  </si>
  <si>
    <t>ליטר</t>
  </si>
  <si>
    <t>עמקים חמים</t>
  </si>
  <si>
    <t>רגיל</t>
  </si>
  <si>
    <t>התפלגות</t>
  </si>
  <si>
    <t>מכסה חודשית</t>
  </si>
  <si>
    <t>ייצור חודשי</t>
  </si>
  <si>
    <t>מחיר מטרה ללא היטל ש"ח לליטר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</si>
  <si>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</si>
  <si>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</si>
  <si>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</si>
  <si>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</si>
  <si>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</si>
  <si>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</si>
  <si>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</si>
  <si>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</si>
  <si>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</si>
  <si>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</si>
  <si>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</si>
  <si>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</si>
  <si>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ס"ה</t>
  </si>
  <si>
    <t>חורף</t>
  </si>
  <si>
    <t>קיץ</t>
  </si>
  <si>
    <t>ינואר-אפריל</t>
  </si>
  <si>
    <t>מכסה</t>
  </si>
  <si>
    <t>ייצור</t>
  </si>
  <si>
    <t>חלב עודף</t>
  </si>
  <si>
    <t>עודף באחוזים</t>
  </si>
  <si>
    <t>רצועה</t>
  </si>
  <si>
    <t>ליטרים</t>
  </si>
  <si>
    <t>חורף 1-4,11,12</t>
  </si>
  <si>
    <t>קיץ 5-10</t>
  </si>
  <si>
    <t>מדיניות</t>
  </si>
  <si>
    <t>א'</t>
  </si>
  <si>
    <t>ב'</t>
  </si>
  <si>
    <t>חלב עודף א'</t>
  </si>
  <si>
    <t>חלב עודף ב'</t>
  </si>
  <si>
    <t>קנסות</t>
  </si>
  <si>
    <t>ש"ח (אומדן)</t>
  </si>
  <si>
    <t>קנס א'</t>
  </si>
  <si>
    <t>קנס ב'</t>
  </si>
  <si>
    <t>סך קנסות</t>
  </si>
  <si>
    <t>קנס מיוחד</t>
  </si>
  <si>
    <t>קנסות (אומדן)</t>
  </si>
  <si>
    <t>סך קנסות כולל קנס מיוחד</t>
  </si>
  <si>
    <t>סך קנסות לליטר עודף</t>
  </si>
  <si>
    <t>סך קנסות לליטר מיוצר</t>
  </si>
  <si>
    <t>קנס מיוחד 1-4</t>
  </si>
  <si>
    <t>רצועה א'</t>
  </si>
  <si>
    <t>העברת חלב בין עונות</t>
  </si>
  <si>
    <t>שנתי</t>
  </si>
  <si>
    <t>עודף</t>
  </si>
  <si>
    <t>תת-ביצוע</t>
  </si>
  <si>
    <t>חורף 1-4</t>
  </si>
  <si>
    <t>כמות מקסימלית להעברה</t>
  </si>
  <si>
    <t>פרס/קנס ש"ח לליטר</t>
  </si>
  <si>
    <t>כמות לקנס</t>
  </si>
  <si>
    <t>כמות לפרס</t>
  </si>
  <si>
    <t>כמות  נטו</t>
  </si>
  <si>
    <t>סך פרסים (קנסות)</t>
  </si>
  <si>
    <t>קנס חלב עודף כולל העברת חלב בין עונות</t>
  </si>
  <si>
    <t>ש"ח</t>
  </si>
  <si>
    <t>מספר שלילי משמעותו שסך הפרסים גבוהים מהקנסות</t>
  </si>
  <si>
    <t>מכסה 2021</t>
  </si>
  <si>
    <t>חישוב כמות לקנס מיוחד</t>
  </si>
  <si>
    <t>מקדם לחמ"מ</t>
  </si>
  <si>
    <t>מחיר רבעון 1</t>
  </si>
  <si>
    <t>מחיר רבעון 2</t>
  </si>
  <si>
    <t>מחיר רבעון 3</t>
  </si>
  <si>
    <t>מחיר רבעון 4</t>
  </si>
  <si>
    <t>מחירי מטרה ללא הטל ש"ח לליטר</t>
  </si>
  <si>
    <t>סה"כ</t>
  </si>
  <si>
    <t>תכנית ייצור</t>
  </si>
  <si>
    <t>ייצור מצטבר</t>
  </si>
  <si>
    <t>מכסה מצטברת</t>
  </si>
  <si>
    <t>רצועה ב'</t>
  </si>
  <si>
    <t>סה"כ חלב עודף</t>
  </si>
  <si>
    <t>עודף מיוחד חורף</t>
  </si>
  <si>
    <t>כמויות חלב עודף - ליטרים</t>
  </si>
  <si>
    <t>אומדן גביה לחלב עודף - ש"ח</t>
  </si>
  <si>
    <t>סך גביה לחלב עודף</t>
  </si>
  <si>
    <t>מחיר מטרה ממוצע</t>
  </si>
  <si>
    <t>גביה ממוצעת לליטר עודף</t>
  </si>
  <si>
    <t>גביה ממוצעת לליטר מיוצר</t>
  </si>
  <si>
    <t>חלב עודף באחוזים</t>
  </si>
  <si>
    <t>התפלגות החלב העודף</t>
  </si>
  <si>
    <t>העברת חלב מתוכנן</t>
  </si>
  <si>
    <t>סך קנסות חלב עודף והעברת חלב</t>
  </si>
  <si>
    <t>העברה לקיץ (פרס)</t>
  </si>
  <si>
    <t>העברה מהקיץ (קנס)</t>
  </si>
  <si>
    <t>נחלבות</t>
  </si>
  <si>
    <t>ייבושים</t>
  </si>
  <si>
    <t>יציאות</t>
  </si>
  <si>
    <t>ממליטות</t>
  </si>
  <si>
    <t>נחלבות לחודש הבא</t>
  </si>
  <si>
    <t>תנובה יומית ק"ג</t>
  </si>
  <si>
    <t>ייצור חודשי - ליטרים</t>
  </si>
  <si>
    <t>ממוצע/סה"כ</t>
  </si>
  <si>
    <t>הערה: הפרס קנס על רכיבים -גם על חלב עודף</t>
  </si>
  <si>
    <t>תמרוץ שומן גבוה</t>
  </si>
  <si>
    <t>דוגמא</t>
  </si>
  <si>
    <t>מעל</t>
  </si>
  <si>
    <t>ועד</t>
  </si>
  <si>
    <t>ש"ח לק"ג שומן ברצועה</t>
  </si>
  <si>
    <t>אחוז שומן</t>
  </si>
  <si>
    <t>סך שומן</t>
  </si>
  <si>
    <t>מחיר שומן</t>
  </si>
  <si>
    <t>תקבול רגיל על שומן</t>
  </si>
  <si>
    <t>סה"כ בגין שומן</t>
  </si>
  <si>
    <t>תמריץ - ש"ח</t>
  </si>
  <si>
    <t>סך הכל</t>
  </si>
  <si>
    <t>תמריץ אג' לליטר</t>
  </si>
  <si>
    <t>תמריץ ש"ח לק"ג שומן</t>
  </si>
  <si>
    <t>תוספת</t>
  </si>
  <si>
    <t>נורמטיבי</t>
  </si>
  <si>
    <t>מחיר מטרה - ש"ח לליטר</t>
  </si>
  <si>
    <t>טבלת רגישות  - תשלום לשומן ביחס לנורמה- ש"ח לליטר ברגישות לאחוז שומן ומחיר מטרה</t>
  </si>
  <si>
    <t>טבלת רגישות  - תשלום לשומן - אג' לליטר ברגישות לאחוז שומן ומחיר מטרה</t>
  </si>
  <si>
    <t>התמריצים לשומן הם על כל החלב שהנקלט במחלבות</t>
  </si>
  <si>
    <t>חלבון</t>
  </si>
  <si>
    <t>תגמול</t>
  </si>
  <si>
    <t>שומן</t>
  </si>
  <si>
    <t>תמריץ שומן</t>
  </si>
  <si>
    <t>שומן / חלבון</t>
  </si>
  <si>
    <t>ש"ח לליטר ללא היטל</t>
  </si>
  <si>
    <t>מחיר מטרה אפקטיבי -לפי אחוזי שומן וחלבון</t>
  </si>
  <si>
    <t>כולל תמריץ</t>
  </si>
  <si>
    <t>1-כולל תמריץ</t>
  </si>
  <si>
    <t>דוגמא לתחזית ייצור</t>
  </si>
  <si>
    <t>המחירים  לצורך הדוגמה</t>
  </si>
  <si>
    <t>חשבון רכיבי חלב ל-2021</t>
  </si>
  <si>
    <t>אחוז השומן השנתי מחושב כממוצע משוקלל, כלומר סך השומן המשווק במהלך השנה חלקי סך החלב המשווק</t>
  </si>
  <si>
    <t>סה"כ/ ממוצע</t>
  </si>
  <si>
    <t>סך חלבון - ק"ג</t>
  </si>
  <si>
    <t>חלב - ליטרים</t>
  </si>
  <si>
    <t>סך שומן - ק"ג</t>
  </si>
  <si>
    <t>פרס/קנס רכיבים לליטר - ש"ח לליטר</t>
  </si>
  <si>
    <t>סך פרס/קנס רכיבים - ש"ח</t>
  </si>
  <si>
    <t>שכבה א'</t>
  </si>
  <si>
    <t>שכבה  ב'</t>
  </si>
  <si>
    <t>שכבה ג'</t>
  </si>
  <si>
    <t>כמות שומן בשכבה</t>
  </si>
  <si>
    <t>שכבה ב'</t>
  </si>
  <si>
    <t>ש"ח לק"ג שומן בשכבה</t>
  </si>
  <si>
    <t>תמריץ - ש"ח לליטר</t>
  </si>
  <si>
    <t>סה"כ תוספת רכיבים</t>
  </si>
  <si>
    <t>פרס/קנס חלבון - ש"ח לליטר</t>
  </si>
  <si>
    <t>סך פרס/קנס חלבון - ש"ח</t>
  </si>
  <si>
    <t>פרס/קנס שומן - ש"ח לליטר</t>
  </si>
  <si>
    <t>סך פרס/קנס שומן - ש"ח</t>
  </si>
  <si>
    <t>יש למלא את התאים הירוקים</t>
  </si>
  <si>
    <t>תקבול לליטר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</si>
</sst>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%"/>
    <numFmt numFmtId="165" formatCode="0.000%"/>
    <numFmt numFmtId="166" formatCode="_ * #,##0.0000_ ;_ * \-#,##0.0000_ ;_ * &quot;-&quot;??_ ;_ @_ "/>
    <numFmt numFmtId="167" formatCode="_ * #,##0_ ;_ * \-#,##0_ ;_ * &quot;-&quot;??_ ;_ @_ "/>
    <numFmt numFmtId="168" formatCode="_ * #,##0.00000_ ;_ * \-#,##0.00000_ ;_ * &quot;-&quot;??_ ;_ @_ "/>
    <numFmt numFmtId="169" formatCode="_ * #,##0.000_ ;_ * \-#,##0.000_ ;_ * &quot;-&quot;??_ ;_ @_ "/>
    <numFmt numFmtId="170" formatCode="_ * #,##0.0_ ;_ * \-#,##0.0_ ;_ * &quot;-&quot;??_ ;_ @_ "/>
    <numFmt numFmtId="171" formatCode="0.00000%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David"/>
      <family val="2"/>
    </font>
    <font>
      <sz val="11"/>
      <color rgb="FFFF0000"/>
      <name val="David"/>
      <family val="2"/>
    </font>
    <font>
      <sz val="10"/>
      <name val="David"/>
      <family val="2"/>
    </font>
    <font>
      <b/>
      <sz val="10"/>
      <color rgb="FFFF0000"/>
      <name val="David"/>
      <family val="2"/>
    </font>
    <font>
      <b/>
      <sz val="11"/>
      <color theme="1"/>
      <name val="David"/>
      <family val="2"/>
    </font>
    <font>
      <b/>
      <sz val="10"/>
      <name val="David"/>
      <family val="2"/>
    </font>
    <font>
      <b/>
      <sz val="10"/>
      <color rgb="FF0070C0"/>
      <name val="David"/>
      <family val="2"/>
    </font>
    <font>
      <b/>
      <sz val="10"/>
      <color rgb="FF00B0F0"/>
      <name val="David"/>
      <family val="2"/>
    </font>
    <font>
      <sz val="10"/>
      <color theme="1"/>
      <name val="David"/>
      <family val="2"/>
    </font>
    <font>
      <sz val="11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0"/>
      <color theme="1"/>
      <name val="David"/>
      <family val="2"/>
    </font>
    <font>
      <b/>
      <sz val="11"/>
      <color rgb="FFFF0000"/>
      <name val="David"/>
      <family val="2"/>
    </font>
    <font>
      <sz val="11"/>
      <color theme="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b/>
      <sz val="18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251">
    <xf numFmtId="0" fontId="0" fillId="0" borderId="0" xfId="0"/>
    <xf numFmtId="0" fontId="0" fillId="0" borderId="0" xfId="0" applyBorder="1"/>
    <xf numFmtId="0" fontId="9" fillId="0" borderId="0" xfId="0" applyFont="1"/>
    <xf numFmtId="0" fontId="9" fillId="4" borderId="0" xfId="0" applyFont="1" applyFill="1" applyBorder="1"/>
    <xf numFmtId="0" fontId="14" fillId="0" borderId="2" xfId="4" applyFont="1" applyBorder="1" applyAlignment="1" applyProtection="1">
      <alignment horizontal="center" wrapText="1"/>
    </xf>
    <xf numFmtId="0" fontId="14" fillId="0" borderId="2" xfId="4" applyFont="1" applyBorder="1" applyAlignment="1" applyProtection="1">
      <alignment horizontal="center"/>
    </xf>
    <xf numFmtId="43" fontId="14" fillId="8" borderId="2" xfId="1" applyFont="1" applyFill="1" applyBorder="1" applyProtection="1"/>
    <xf numFmtId="43" fontId="14" fillId="8" borderId="1" xfId="1" applyFont="1" applyFill="1" applyBorder="1" applyProtection="1"/>
    <xf numFmtId="166" fontId="15" fillId="5" borderId="2" xfId="1" applyNumberFormat="1" applyFont="1" applyFill="1" applyBorder="1" applyProtection="1"/>
    <xf numFmtId="166" fontId="11" fillId="0" borderId="2" xfId="1" applyNumberFormat="1" applyFont="1" applyBorder="1" applyProtection="1"/>
    <xf numFmtId="166" fontId="16" fillId="5" borderId="2" xfId="1" applyNumberFormat="1" applyFont="1" applyFill="1" applyBorder="1" applyProtection="1"/>
    <xf numFmtId="166" fontId="11" fillId="2" borderId="2" xfId="1" applyNumberFormat="1" applyFont="1" applyFill="1" applyBorder="1" applyProtection="1"/>
    <xf numFmtId="166" fontId="12" fillId="5" borderId="2" xfId="1" applyNumberFormat="1" applyFont="1" applyFill="1" applyBorder="1" applyProtection="1"/>
    <xf numFmtId="166" fontId="11" fillId="3" borderId="2" xfId="1" applyNumberFormat="1" applyFont="1" applyFill="1" applyBorder="1" applyProtection="1"/>
    <xf numFmtId="0" fontId="9" fillId="0" borderId="8" xfId="0" applyFont="1" applyBorder="1"/>
    <xf numFmtId="0" fontId="9" fillId="0" borderId="9" xfId="0" applyFont="1" applyBorder="1"/>
    <xf numFmtId="43" fontId="13" fillId="0" borderId="9" xfId="0" applyNumberFormat="1" applyFont="1" applyBorder="1"/>
    <xf numFmtId="0" fontId="9" fillId="0" borderId="10" xfId="0" applyFont="1" applyBorder="1" applyAlignment="1">
      <alignment horizontal="center"/>
    </xf>
    <xf numFmtId="0" fontId="10" fillId="0" borderId="11" xfId="0" applyFont="1" applyBorder="1"/>
    <xf numFmtId="0" fontId="9" fillId="0" borderId="5" xfId="0" applyFont="1" applyBorder="1"/>
    <xf numFmtId="0" fontId="9" fillId="0" borderId="12" xfId="0" applyFont="1" applyBorder="1"/>
    <xf numFmtId="0" fontId="9" fillId="0" borderId="0" xfId="0" applyFont="1" applyProtection="1">
      <protection locked="0"/>
    </xf>
    <xf numFmtId="0" fontId="9" fillId="7" borderId="5" xfId="0" applyFont="1" applyFill="1" applyBorder="1" applyProtection="1">
      <protection locked="0"/>
    </xf>
    <xf numFmtId="0" fontId="10" fillId="7" borderId="0" xfId="0" applyFont="1" applyFill="1" applyProtection="1">
      <protection locked="0"/>
    </xf>
    <xf numFmtId="0" fontId="9" fillId="0" borderId="0" xfId="0" applyFont="1" applyProtection="1"/>
    <xf numFmtId="0" fontId="13" fillId="0" borderId="0" xfId="0" applyFont="1" applyProtection="1"/>
    <xf numFmtId="0" fontId="9" fillId="0" borderId="2" xfId="0" applyFont="1" applyBorder="1" applyProtection="1"/>
    <xf numFmtId="167" fontId="12" fillId="0" borderId="0" xfId="1" applyNumberFormat="1" applyFont="1" applyFill="1" applyBorder="1" applyProtection="1"/>
    <xf numFmtId="0" fontId="9" fillId="0" borderId="0" xfId="0" applyFont="1" applyBorder="1" applyProtection="1"/>
    <xf numFmtId="167" fontId="9" fillId="0" borderId="0" xfId="0" applyNumberFormat="1" applyFont="1" applyBorder="1" applyProtection="1"/>
    <xf numFmtId="0" fontId="13" fillId="0" borderId="2" xfId="0" applyFont="1" applyBorder="1" applyProtection="1"/>
    <xf numFmtId="167" fontId="19" fillId="0" borderId="2" xfId="1" applyNumberFormat="1" applyFont="1" applyFill="1" applyBorder="1" applyProtection="1"/>
    <xf numFmtId="167" fontId="11" fillId="0" borderId="2" xfId="1" applyNumberFormat="1" applyFont="1" applyFill="1" applyBorder="1" applyProtection="1"/>
    <xf numFmtId="167" fontId="9" fillId="0" borderId="2" xfId="0" applyNumberFormat="1" applyFont="1" applyBorder="1" applyProtection="1"/>
    <xf numFmtId="0" fontId="9" fillId="0" borderId="2" xfId="0" quotePrefix="1" applyFont="1" applyBorder="1" applyProtection="1"/>
    <xf numFmtId="167" fontId="14" fillId="0" borderId="2" xfId="1" applyNumberFormat="1" applyFont="1" applyFill="1" applyBorder="1" applyProtection="1"/>
    <xf numFmtId="167" fontId="13" fillId="0" borderId="2" xfId="0" applyNumberFormat="1" applyFont="1" applyBorder="1" applyProtection="1"/>
    <xf numFmtId="10" fontId="14" fillId="0" borderId="2" xfId="2" applyNumberFormat="1" applyFont="1" applyFill="1" applyBorder="1" applyProtection="1"/>
    <xf numFmtId="10" fontId="13" fillId="0" borderId="2" xfId="2" applyNumberFormat="1" applyFont="1" applyBorder="1" applyProtection="1"/>
    <xf numFmtId="9" fontId="13" fillId="0" borderId="2" xfId="2" applyFont="1" applyBorder="1" applyProtection="1"/>
    <xf numFmtId="43" fontId="14" fillId="0" borderId="2" xfId="1" applyFont="1" applyFill="1" applyBorder="1" applyProtection="1"/>
    <xf numFmtId="164" fontId="18" fillId="0" borderId="2" xfId="2" applyNumberFormat="1" applyFont="1" applyBorder="1" applyProtection="1"/>
    <xf numFmtId="10" fontId="9" fillId="0" borderId="2" xfId="2" applyNumberFormat="1" applyFont="1" applyBorder="1" applyProtection="1"/>
    <xf numFmtId="167" fontId="14" fillId="0" borderId="2" xfId="1" applyNumberFormat="1" applyFont="1" applyFill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43" fontId="9" fillId="0" borderId="2" xfId="1" applyFont="1" applyBorder="1" applyProtection="1"/>
    <xf numFmtId="43" fontId="13" fillId="0" borderId="2" xfId="0" applyNumberFormat="1" applyFont="1" applyBorder="1" applyProtection="1"/>
    <xf numFmtId="167" fontId="9" fillId="0" borderId="2" xfId="1" applyNumberFormat="1" applyFont="1" applyBorder="1" applyProtection="1"/>
    <xf numFmtId="167" fontId="9" fillId="0" borderId="13" xfId="0" applyNumberFormat="1" applyFont="1" applyBorder="1" applyProtection="1"/>
    <xf numFmtId="167" fontId="9" fillId="2" borderId="2" xfId="1" applyNumberFormat="1" applyFont="1" applyFill="1" applyBorder="1" applyProtection="1"/>
    <xf numFmtId="167" fontId="9" fillId="2" borderId="13" xfId="0" applyNumberFormat="1" applyFont="1" applyFill="1" applyBorder="1" applyProtection="1"/>
    <xf numFmtId="167" fontId="9" fillId="2" borderId="2" xfId="0" applyNumberFormat="1" applyFont="1" applyFill="1" applyBorder="1" applyProtection="1"/>
    <xf numFmtId="167" fontId="9" fillId="3" borderId="2" xfId="1" applyNumberFormat="1" applyFont="1" applyFill="1" applyBorder="1" applyProtection="1"/>
    <xf numFmtId="10" fontId="0" fillId="6" borderId="0" xfId="0" applyNumberFormat="1" applyFill="1" applyProtection="1">
      <protection locked="0"/>
    </xf>
    <xf numFmtId="43" fontId="21" fillId="2" borderId="2" xfId="1" applyNumberFormat="1" applyFont="1" applyFill="1" applyBorder="1" applyProtection="1"/>
    <xf numFmtId="9" fontId="9" fillId="0" borderId="0" xfId="0" applyNumberFormat="1" applyFont="1" applyProtection="1"/>
    <xf numFmtId="43" fontId="13" fillId="0" borderId="0" xfId="0" applyNumberFormat="1" applyFont="1" applyProtection="1"/>
    <xf numFmtId="0" fontId="0" fillId="0" borderId="0" xfId="0" applyProtection="1"/>
    <xf numFmtId="0" fontId="0" fillId="0" borderId="0" xfId="0" applyBorder="1" applyProtection="1"/>
    <xf numFmtId="0" fontId="5" fillId="0" borderId="0" xfId="0" applyFont="1" applyBorder="1" applyProtection="1"/>
    <xf numFmtId="0" fontId="0" fillId="0" borderId="2" xfId="0" applyBorder="1" applyProtection="1"/>
    <xf numFmtId="0" fontId="4" fillId="0" borderId="2" xfId="0" quotePrefix="1" applyFont="1" applyBorder="1" applyAlignment="1" applyProtection="1">
      <alignment horizontal="center"/>
    </xf>
    <xf numFmtId="165" fontId="2" fillId="5" borderId="2" xfId="2" applyNumberFormat="1" applyFont="1" applyFill="1" applyBorder="1" applyProtection="1"/>
    <xf numFmtId="10" fontId="2" fillId="2" borderId="2" xfId="2" applyNumberFormat="1" applyFont="1" applyFill="1" applyBorder="1" applyProtection="1"/>
    <xf numFmtId="10" fontId="4" fillId="2" borderId="2" xfId="0" applyNumberFormat="1" applyFont="1" applyFill="1" applyBorder="1" applyProtection="1"/>
    <xf numFmtId="9" fontId="4" fillId="4" borderId="2" xfId="0" applyNumberFormat="1" applyFont="1" applyFill="1" applyBorder="1" applyProtection="1"/>
    <xf numFmtId="0" fontId="4" fillId="4" borderId="2" xfId="0" applyFont="1" applyFill="1" applyBorder="1" applyProtection="1"/>
    <xf numFmtId="164" fontId="0" fillId="0" borderId="2" xfId="0" applyNumberFormat="1" applyBorder="1" applyProtection="1"/>
    <xf numFmtId="0" fontId="0" fillId="2" borderId="0" xfId="0" applyFill="1" applyProtection="1"/>
    <xf numFmtId="166" fontId="0" fillId="0" borderId="0" xfId="1" applyNumberFormat="1" applyFont="1" applyProtection="1"/>
    <xf numFmtId="166" fontId="0" fillId="0" borderId="0" xfId="0" applyNumberForma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10" fontId="0" fillId="0" borderId="0" xfId="2" applyNumberFormat="1" applyFont="1" applyProtection="1"/>
    <xf numFmtId="0" fontId="11" fillId="0" borderId="0" xfId="3" applyFont="1" applyProtection="1"/>
    <xf numFmtId="0" fontId="9" fillId="4" borderId="0" xfId="0" applyFont="1" applyFill="1" applyBorder="1" applyProtection="1"/>
    <xf numFmtId="167" fontId="12" fillId="4" borderId="0" xfId="1" applyNumberFormat="1" applyFont="1" applyFill="1" applyBorder="1" applyProtection="1"/>
    <xf numFmtId="0" fontId="9" fillId="0" borderId="2" xfId="0" applyFont="1" applyBorder="1" applyAlignment="1" applyProtection="1">
      <alignment wrapText="1"/>
    </xf>
    <xf numFmtId="0" fontId="9" fillId="0" borderId="0" xfId="0" applyFont="1" applyFill="1" applyBorder="1" applyProtection="1"/>
    <xf numFmtId="167" fontId="9" fillId="0" borderId="0" xfId="0" applyNumberFormat="1" applyFont="1" applyProtection="1"/>
    <xf numFmtId="0" fontId="9" fillId="0" borderId="2" xfId="0" applyFont="1" applyBorder="1" applyAlignment="1" applyProtection="1">
      <alignment horizontal="center"/>
    </xf>
    <xf numFmtId="167" fontId="9" fillId="0" borderId="0" xfId="1" applyNumberFormat="1" applyFont="1" applyFill="1" applyBorder="1" applyProtection="1"/>
    <xf numFmtId="168" fontId="17" fillId="0" borderId="0" xfId="1" applyNumberFormat="1" applyFont="1" applyFill="1" applyBorder="1" applyProtection="1"/>
    <xf numFmtId="0" fontId="9" fillId="2" borderId="2" xfId="0" applyFont="1" applyFill="1" applyBorder="1" applyAlignment="1" applyProtection="1">
      <alignment horizontal="center"/>
    </xf>
    <xf numFmtId="43" fontId="9" fillId="2" borderId="2" xfId="1" applyFont="1" applyFill="1" applyBorder="1" applyProtection="1"/>
    <xf numFmtId="43" fontId="9" fillId="0" borderId="0" xfId="1" applyFont="1" applyFill="1" applyBorder="1" applyProtection="1"/>
    <xf numFmtId="0" fontId="17" fillId="0" borderId="0" xfId="0" applyFont="1" applyFill="1" applyBorder="1" applyProtection="1"/>
    <xf numFmtId="0" fontId="9" fillId="3" borderId="2" xfId="0" applyFont="1" applyFill="1" applyBorder="1" applyAlignment="1" applyProtection="1">
      <alignment horizontal="center"/>
    </xf>
    <xf numFmtId="43" fontId="9" fillId="3" borderId="2" xfId="1" applyFont="1" applyFill="1" applyBorder="1" applyProtection="1"/>
    <xf numFmtId="166" fontId="9" fillId="0" borderId="0" xfId="0" applyNumberFormat="1" applyFont="1" applyProtection="1"/>
    <xf numFmtId="167" fontId="17" fillId="0" borderId="0" xfId="1" applyNumberFormat="1" applyFont="1" applyFill="1" applyBorder="1" applyProtection="1"/>
    <xf numFmtId="0" fontId="13" fillId="0" borderId="2" xfId="0" applyFont="1" applyBorder="1" applyAlignment="1" applyProtection="1">
      <alignment horizontal="center"/>
    </xf>
    <xf numFmtId="167" fontId="13" fillId="0" borderId="2" xfId="1" applyNumberFormat="1" applyFont="1" applyBorder="1" applyProtection="1"/>
    <xf numFmtId="166" fontId="13" fillId="0" borderId="2" xfId="0" applyNumberFormat="1" applyFont="1" applyBorder="1" applyProtection="1"/>
    <xf numFmtId="168" fontId="9" fillId="0" borderId="0" xfId="0" applyNumberFormat="1" applyFont="1" applyProtection="1"/>
    <xf numFmtId="0" fontId="13" fillId="0" borderId="0" xfId="0" applyFont="1" applyBorder="1" applyAlignment="1" applyProtection="1">
      <alignment horizontal="center"/>
    </xf>
    <xf numFmtId="43" fontId="13" fillId="0" borderId="0" xfId="0" applyNumberFormat="1" applyFont="1" applyBorder="1" applyProtection="1"/>
    <xf numFmtId="167" fontId="13" fillId="0" borderId="0" xfId="1" applyNumberFormat="1" applyFont="1" applyBorder="1" applyProtection="1"/>
    <xf numFmtId="166" fontId="13" fillId="0" borderId="0" xfId="0" applyNumberFormat="1" applyFont="1" applyBorder="1" applyProtection="1"/>
    <xf numFmtId="168" fontId="9" fillId="0" borderId="0" xfId="0" applyNumberFormat="1" applyFont="1" applyBorder="1" applyProtection="1"/>
    <xf numFmtId="167" fontId="13" fillId="0" borderId="1" xfId="1" applyNumberFormat="1" applyFont="1" applyBorder="1" applyProtection="1"/>
    <xf numFmtId="167" fontId="13" fillId="0" borderId="6" xfId="1" applyNumberFormat="1" applyFont="1" applyBorder="1" applyProtection="1"/>
    <xf numFmtId="0" fontId="9" fillId="0" borderId="2" xfId="0" applyFont="1" applyFill="1" applyBorder="1" applyAlignment="1" applyProtection="1">
      <alignment horizontal="center"/>
    </xf>
    <xf numFmtId="43" fontId="9" fillId="0" borderId="2" xfId="0" applyNumberFormat="1" applyFont="1" applyBorder="1" applyAlignment="1" applyProtection="1">
      <alignment horizontal="center"/>
    </xf>
    <xf numFmtId="167" fontId="9" fillId="0" borderId="1" xfId="1" applyNumberFormat="1" applyFont="1" applyBorder="1" applyAlignment="1" applyProtection="1">
      <alignment horizontal="center"/>
    </xf>
    <xf numFmtId="167" fontId="9" fillId="0" borderId="3" xfId="1" applyNumberFormat="1" applyFont="1" applyBorder="1" applyProtection="1"/>
    <xf numFmtId="167" fontId="9" fillId="0" borderId="0" xfId="1" applyNumberFormat="1" applyFont="1" applyBorder="1" applyProtection="1"/>
    <xf numFmtId="167" fontId="13" fillId="0" borderId="7" xfId="1" applyNumberFormat="1" applyFont="1" applyBorder="1" applyProtection="1"/>
    <xf numFmtId="9" fontId="13" fillId="0" borderId="0" xfId="0" applyNumberFormat="1" applyFont="1" applyProtection="1"/>
    <xf numFmtId="9" fontId="13" fillId="0" borderId="0" xfId="0" applyNumberFormat="1" applyFont="1" applyBorder="1" applyProtection="1"/>
    <xf numFmtId="9" fontId="13" fillId="0" borderId="0" xfId="2" applyFont="1" applyBorder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167" fontId="13" fillId="0" borderId="2" xfId="1" applyNumberFormat="1" applyFont="1" applyBorder="1" applyAlignment="1" applyProtection="1">
      <alignment horizontal="center"/>
    </xf>
    <xf numFmtId="43" fontId="9" fillId="0" borderId="0" xfId="0" applyNumberFormat="1" applyFont="1" applyProtection="1"/>
    <xf numFmtId="167" fontId="9" fillId="0" borderId="1" xfId="1" applyNumberFormat="1" applyFont="1" applyBorder="1" applyProtection="1"/>
    <xf numFmtId="9" fontId="9" fillId="0" borderId="2" xfId="0" applyNumberFormat="1" applyFont="1" applyBorder="1" applyAlignment="1" applyProtection="1">
      <alignment horizontal="center"/>
    </xf>
    <xf numFmtId="10" fontId="13" fillId="0" borderId="0" xfId="2" applyNumberFormat="1" applyFont="1" applyBorder="1" applyProtection="1"/>
    <xf numFmtId="9" fontId="18" fillId="0" borderId="2" xfId="0" applyNumberFormat="1" applyFont="1" applyBorder="1" applyAlignment="1" applyProtection="1">
      <alignment horizontal="center"/>
    </xf>
    <xf numFmtId="167" fontId="9" fillId="0" borderId="2" xfId="1" applyNumberFormat="1" applyFont="1" applyBorder="1" applyAlignment="1" applyProtection="1">
      <alignment horizontal="center"/>
    </xf>
    <xf numFmtId="167" fontId="9" fillId="0" borderId="0" xfId="1" applyNumberFormat="1" applyFont="1" applyBorder="1" applyAlignment="1" applyProtection="1">
      <alignment horizontal="center"/>
    </xf>
    <xf numFmtId="9" fontId="9" fillId="0" borderId="2" xfId="0" applyNumberFormat="1" applyFont="1" applyBorder="1" applyProtection="1"/>
    <xf numFmtId="43" fontId="9" fillId="0" borderId="2" xfId="1" applyNumberFormat="1" applyFont="1" applyFill="1" applyBorder="1" applyProtection="1"/>
    <xf numFmtId="43" fontId="13" fillId="0" borderId="2" xfId="1" applyNumberFormat="1" applyFont="1" applyBorder="1" applyProtection="1"/>
    <xf numFmtId="43" fontId="9" fillId="0" borderId="2" xfId="1" applyFont="1" applyFill="1" applyBorder="1" applyProtection="1"/>
    <xf numFmtId="0" fontId="13" fillId="0" borderId="2" xfId="0" applyFont="1" applyFill="1" applyBorder="1" applyProtection="1"/>
    <xf numFmtId="0" fontId="9" fillId="0" borderId="2" xfId="0" applyFont="1" applyFill="1" applyBorder="1" applyProtection="1"/>
    <xf numFmtId="166" fontId="13" fillId="0" borderId="2" xfId="1" applyNumberFormat="1" applyFont="1" applyBorder="1" applyProtection="1"/>
    <xf numFmtId="166" fontId="9" fillId="0" borderId="0" xfId="0" applyNumberFormat="1" applyFont="1" applyBorder="1" applyProtection="1"/>
    <xf numFmtId="0" fontId="9" fillId="0" borderId="6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43" fontId="13" fillId="0" borderId="6" xfId="0" applyNumberFormat="1" applyFont="1" applyBorder="1" applyProtection="1"/>
    <xf numFmtId="43" fontId="13" fillId="0" borderId="6" xfId="1" applyNumberFormat="1" applyFont="1" applyBorder="1" applyProtection="1"/>
    <xf numFmtId="0" fontId="9" fillId="0" borderId="0" xfId="0" applyFont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9" fillId="0" borderId="2" xfId="0" applyNumberFormat="1" applyFont="1" applyBorder="1" applyProtection="1"/>
    <xf numFmtId="9" fontId="9" fillId="0" borderId="0" xfId="0" applyNumberFormat="1" applyFont="1" applyBorder="1" applyProtection="1"/>
    <xf numFmtId="0" fontId="9" fillId="0" borderId="2" xfId="0" applyFont="1" applyBorder="1" applyAlignment="1" applyProtection="1"/>
    <xf numFmtId="166" fontId="9" fillId="0" borderId="2" xfId="0" applyNumberFormat="1" applyFont="1" applyBorder="1" applyProtection="1"/>
    <xf numFmtId="9" fontId="9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8" fillId="0" borderId="2" xfId="0" applyFont="1" applyBorder="1" applyProtection="1"/>
    <xf numFmtId="167" fontId="9" fillId="0" borderId="2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</xf>
    <xf numFmtId="0" fontId="23" fillId="0" borderId="2" xfId="0" applyFont="1" applyBorder="1" applyProtection="1"/>
    <xf numFmtId="0" fontId="0" fillId="0" borderId="2" xfId="0" applyBorder="1" applyAlignment="1" applyProtection="1">
      <alignment horizontal="center"/>
    </xf>
    <xf numFmtId="10" fontId="0" fillId="0" borderId="2" xfId="0" applyNumberFormat="1" applyBorder="1" applyProtection="1"/>
    <xf numFmtId="43" fontId="0" fillId="0" borderId="2" xfId="0" applyNumberFormat="1" applyBorder="1" applyProtection="1"/>
    <xf numFmtId="10" fontId="23" fillId="0" borderId="2" xfId="0" applyNumberFormat="1" applyFont="1" applyBorder="1" applyProtection="1"/>
    <xf numFmtId="167" fontId="0" fillId="0" borderId="2" xfId="1" applyNumberFormat="1" applyFont="1" applyBorder="1" applyProtection="1"/>
    <xf numFmtId="0" fontId="0" fillId="0" borderId="0" xfId="0" applyFill="1" applyBorder="1" applyProtection="1"/>
    <xf numFmtId="167" fontId="3" fillId="0" borderId="2" xfId="0" applyNumberFormat="1" applyFont="1" applyBorder="1" applyProtection="1"/>
    <xf numFmtId="43" fontId="0" fillId="0" borderId="2" xfId="1" applyFont="1" applyBorder="1" applyProtection="1"/>
    <xf numFmtId="43" fontId="0" fillId="0" borderId="0" xfId="0" applyNumberFormat="1" applyProtection="1"/>
    <xf numFmtId="167" fontId="0" fillId="2" borderId="2" xfId="1" applyNumberFormat="1" applyFont="1" applyFill="1" applyBorder="1" applyProtection="1"/>
    <xf numFmtId="0" fontId="0" fillId="0" borderId="2" xfId="0" applyFill="1" applyBorder="1" applyProtection="1"/>
    <xf numFmtId="167" fontId="0" fillId="0" borderId="0" xfId="0" applyNumberFormat="1" applyProtection="1"/>
    <xf numFmtId="43" fontId="0" fillId="0" borderId="0" xfId="1" applyFont="1" applyProtection="1"/>
    <xf numFmtId="43" fontId="23" fillId="0" borderId="0" xfId="0" applyNumberFormat="1" applyFont="1" applyProtection="1"/>
    <xf numFmtId="43" fontId="3" fillId="0" borderId="0" xfId="1" applyFont="1" applyAlignment="1" applyProtection="1">
      <alignment horizontal="center"/>
    </xf>
    <xf numFmtId="43" fontId="3" fillId="2" borderId="0" xfId="1" applyFont="1" applyFill="1" applyAlignment="1" applyProtection="1">
      <alignment horizontal="center"/>
    </xf>
    <xf numFmtId="10" fontId="0" fillId="0" borderId="0" xfId="0" applyNumberFormat="1" applyProtection="1"/>
    <xf numFmtId="43" fontId="0" fillId="2" borderId="0" xfId="1" applyFont="1" applyFill="1" applyProtection="1"/>
    <xf numFmtId="165" fontId="0" fillId="2" borderId="0" xfId="2" applyNumberFormat="1" applyFont="1" applyFill="1" applyProtection="1"/>
    <xf numFmtId="43" fontId="0" fillId="0" borderId="0" xfId="1" applyNumberFormat="1" applyFont="1" applyProtection="1"/>
    <xf numFmtId="43" fontId="0" fillId="2" borderId="0" xfId="1" applyNumberFormat="1" applyFont="1" applyFill="1" applyProtection="1"/>
    <xf numFmtId="10" fontId="0" fillId="2" borderId="0" xfId="2" applyNumberFormat="1" applyFont="1" applyFill="1" applyProtection="1"/>
    <xf numFmtId="0" fontId="0" fillId="0" borderId="0" xfId="0" applyFill="1" applyProtection="1"/>
    <xf numFmtId="10" fontId="0" fillId="0" borderId="0" xfId="1" applyNumberFormat="1" applyFont="1" applyFill="1" applyProtection="1"/>
    <xf numFmtId="165" fontId="0" fillId="0" borderId="0" xfId="2" applyNumberFormat="1" applyFont="1" applyFill="1" applyProtection="1"/>
    <xf numFmtId="10" fontId="0" fillId="0" borderId="0" xfId="0" applyNumberFormat="1" applyFill="1" applyProtection="1"/>
    <xf numFmtId="10" fontId="0" fillId="0" borderId="0" xfId="2" applyNumberFormat="1" applyFont="1" applyFill="1" applyProtection="1"/>
    <xf numFmtId="0" fontId="3" fillId="0" borderId="0" xfId="0" applyFont="1" applyAlignment="1" applyProtection="1">
      <alignment horizontal="center"/>
    </xf>
    <xf numFmtId="169" fontId="23" fillId="0" borderId="0" xfId="0" applyNumberFormat="1" applyFont="1" applyProtection="1"/>
    <xf numFmtId="10" fontId="3" fillId="0" borderId="0" xfId="1" applyNumberFormat="1" applyFont="1" applyProtection="1"/>
    <xf numFmtId="165" fontId="3" fillId="2" borderId="0" xfId="2" applyNumberFormat="1" applyFont="1" applyFill="1" applyProtection="1"/>
    <xf numFmtId="10" fontId="3" fillId="0" borderId="0" xfId="0" applyNumberFormat="1" applyFont="1" applyProtection="1"/>
    <xf numFmtId="43" fontId="3" fillId="2" borderId="0" xfId="1" applyFont="1" applyFill="1" applyProtection="1"/>
    <xf numFmtId="170" fontId="0" fillId="0" borderId="2" xfId="1" applyNumberFormat="1" applyFont="1" applyBorder="1" applyProtection="1"/>
    <xf numFmtId="169" fontId="0" fillId="0" borderId="2" xfId="0" applyNumberFormat="1" applyBorder="1" applyProtection="1"/>
    <xf numFmtId="171" fontId="24" fillId="0" borderId="2" xfId="0" applyNumberFormat="1" applyFont="1" applyBorder="1" applyProtection="1"/>
    <xf numFmtId="10" fontId="24" fillId="0" borderId="2" xfId="0" applyNumberFormat="1" applyFont="1" applyBorder="1" applyProtection="1"/>
    <xf numFmtId="166" fontId="0" fillId="0" borderId="2" xfId="1" applyNumberFormat="1" applyFont="1" applyBorder="1" applyProtection="1"/>
    <xf numFmtId="166" fontId="3" fillId="0" borderId="2" xfId="1" applyNumberFormat="1" applyFont="1" applyBorder="1" applyProtection="1"/>
    <xf numFmtId="10" fontId="0" fillId="2" borderId="2" xfId="0" applyNumberFormat="1" applyFill="1" applyBorder="1" applyProtection="1"/>
    <xf numFmtId="0" fontId="0" fillId="0" borderId="0" xfId="0" quotePrefix="1" applyAlignment="1" applyProtection="1">
      <alignment horizontal="right"/>
    </xf>
    <xf numFmtId="0" fontId="0" fillId="2" borderId="0" xfId="0" applyFill="1" applyAlignment="1" applyProtection="1">
      <alignment horizontal="center"/>
    </xf>
    <xf numFmtId="17" fontId="9" fillId="0" borderId="2" xfId="0" applyNumberFormat="1" applyFont="1" applyBorder="1" applyProtection="1"/>
    <xf numFmtId="164" fontId="9" fillId="0" borderId="2" xfId="0" applyNumberFormat="1" applyFont="1" applyBorder="1" applyProtection="1"/>
    <xf numFmtId="9" fontId="9" fillId="0" borderId="2" xfId="2" applyFont="1" applyBorder="1" applyProtection="1"/>
    <xf numFmtId="43" fontId="13" fillId="0" borderId="2" xfId="1" applyFont="1" applyBorder="1" applyProtection="1"/>
    <xf numFmtId="0" fontId="0" fillId="0" borderId="0" xfId="0" applyFill="1" applyBorder="1" applyAlignment="1" applyProtection="1">
      <alignment vertical="center" wrapText="1"/>
    </xf>
    <xf numFmtId="0" fontId="0" fillId="0" borderId="1" xfId="0" applyBorder="1" applyProtection="1"/>
    <xf numFmtId="0" fontId="4" fillId="0" borderId="14" xfId="0" quotePrefix="1" applyFont="1" applyBorder="1" applyAlignment="1" applyProtection="1">
      <alignment horizontal="center"/>
    </xf>
    <xf numFmtId="165" fontId="2" fillId="5" borderId="15" xfId="2" applyNumberFormat="1" applyFont="1" applyFill="1" applyBorder="1" applyProtection="1"/>
    <xf numFmtId="10" fontId="2" fillId="2" borderId="15" xfId="2" applyNumberFormat="1" applyFont="1" applyFill="1" applyBorder="1" applyProtection="1"/>
    <xf numFmtId="10" fontId="4" fillId="2" borderId="15" xfId="0" applyNumberFormat="1" applyFont="1" applyFill="1" applyBorder="1" applyProtection="1"/>
    <xf numFmtId="9" fontId="4" fillId="4" borderId="15" xfId="0" applyNumberFormat="1" applyFont="1" applyFill="1" applyBorder="1" applyProtection="1"/>
    <xf numFmtId="0" fontId="4" fillId="4" borderId="15" xfId="0" applyFont="1" applyFill="1" applyBorder="1" applyProtection="1"/>
    <xf numFmtId="164" fontId="0" fillId="0" borderId="16" xfId="0" applyNumberFormat="1" applyBorder="1" applyProtection="1"/>
    <xf numFmtId="166" fontId="0" fillId="2" borderId="0" xfId="1" applyNumberFormat="1" applyFont="1" applyFill="1" applyProtection="1">
      <protection locked="0"/>
    </xf>
    <xf numFmtId="166" fontId="0" fillId="2" borderId="0" xfId="1" applyNumberFormat="1" applyFont="1" applyFill="1" applyProtection="1"/>
    <xf numFmtId="0" fontId="3" fillId="0" borderId="0" xfId="0" applyFont="1" applyAlignment="1" applyProtection="1"/>
    <xf numFmtId="0" fontId="0" fillId="5" borderId="0" xfId="0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43" fontId="0" fillId="0" borderId="0" xfId="1" applyFont="1"/>
    <xf numFmtId="167" fontId="0" fillId="0" borderId="0" xfId="1" applyNumberFormat="1" applyFont="1"/>
    <xf numFmtId="0" fontId="0" fillId="0" borderId="0" xfId="0" applyAlignment="1">
      <alignment horizontal="center" vertical="center" wrapText="1"/>
    </xf>
    <xf numFmtId="167" fontId="3" fillId="0" borderId="0" xfId="0" applyNumberFormat="1" applyFont="1"/>
    <xf numFmtId="43" fontId="3" fillId="0" borderId="0" xfId="1" applyFont="1"/>
    <xf numFmtId="171" fontId="23" fillId="0" borderId="2" xfId="0" applyNumberFormat="1" applyFont="1" applyBorder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67" fontId="0" fillId="0" borderId="2" xfId="1" applyNumberFormat="1" applyFont="1" applyBorder="1"/>
    <xf numFmtId="10" fontId="0" fillId="0" borderId="2" xfId="0" applyNumberFormat="1" applyBorder="1"/>
    <xf numFmtId="43" fontId="0" fillId="0" borderId="2" xfId="0" applyNumberFormat="1" applyBorder="1"/>
    <xf numFmtId="43" fontId="0" fillId="0" borderId="2" xfId="1" applyFont="1" applyBorder="1"/>
    <xf numFmtId="167" fontId="0" fillId="0" borderId="2" xfId="0" applyNumberFormat="1" applyBorder="1"/>
    <xf numFmtId="0" fontId="3" fillId="0" borderId="2" xfId="0" applyFont="1" applyBorder="1"/>
    <xf numFmtId="167" fontId="3" fillId="0" borderId="2" xfId="0" applyNumberFormat="1" applyFont="1" applyBorder="1"/>
    <xf numFmtId="10" fontId="3" fillId="2" borderId="2" xfId="0" applyNumberFormat="1" applyFont="1" applyFill="1" applyBorder="1"/>
    <xf numFmtId="43" fontId="3" fillId="0" borderId="2" xfId="0" applyNumberFormat="1" applyFont="1" applyBorder="1"/>
    <xf numFmtId="43" fontId="3" fillId="0" borderId="2" xfId="1" applyFont="1" applyBorder="1"/>
    <xf numFmtId="167" fontId="3" fillId="0" borderId="2" xfId="1" applyNumberFormat="1" applyFont="1" applyBorder="1"/>
    <xf numFmtId="43" fontId="3" fillId="2" borderId="2" xfId="1" applyFont="1" applyFill="1" applyBorder="1"/>
    <xf numFmtId="167" fontId="3" fillId="2" borderId="2" xfId="0" applyNumberFormat="1" applyFont="1" applyFill="1" applyBorder="1"/>
    <xf numFmtId="167" fontId="3" fillId="2" borderId="2" xfId="1" applyNumberFormat="1" applyFont="1" applyFill="1" applyBorder="1"/>
    <xf numFmtId="167" fontId="0" fillId="5" borderId="2" xfId="1" applyNumberFormat="1" applyFont="1" applyFill="1" applyBorder="1" applyProtection="1">
      <protection locked="0"/>
    </xf>
    <xf numFmtId="10" fontId="0" fillId="5" borderId="2" xfId="0" applyNumberFormat="1" applyFill="1" applyBorder="1" applyProtection="1">
      <protection locked="0"/>
    </xf>
    <xf numFmtId="43" fontId="0" fillId="5" borderId="0" xfId="1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/>
    <xf numFmtId="167" fontId="22" fillId="5" borderId="2" xfId="1" applyNumberFormat="1" applyFont="1" applyFill="1" applyBorder="1" applyProtection="1">
      <protection locked="0"/>
    </xf>
    <xf numFmtId="167" fontId="12" fillId="5" borderId="6" xfId="1" applyNumberFormat="1" applyFont="1" applyFill="1" applyBorder="1" applyProtection="1">
      <protection locked="0"/>
    </xf>
    <xf numFmtId="43" fontId="12" fillId="5" borderId="2" xfId="1" applyFont="1" applyFill="1" applyBorder="1" applyProtection="1">
      <protection locked="0"/>
    </xf>
  </cellXfs>
  <cellStyles count="5">
    <cellStyle name="Comma" xfId="1" builtinId="3"/>
    <cellStyle name="Normal" xfId="0" builtinId="0"/>
    <cellStyle name="Normal_גיליון1" xfId="4"/>
    <cellStyle name="Normal_גיליון1_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51618547681541"/>
          <c:y val="6.9919072615923006E-2"/>
          <c:w val="0.78059492563429567"/>
          <c:h val="0.74138524351122781"/>
        </c:manualLayout>
      </c:layout>
      <c:lineChart>
        <c:grouping val="standard"/>
        <c:varyColors val="0"/>
        <c:ser>
          <c:idx val="0"/>
          <c:order val="0"/>
          <c:tx>
            <c:strRef>
              <c:f>'חלב עודף והעברה בין עונות'!$G$3</c:f>
              <c:strCache>
                <c:ptCount val="1"/>
                <c:pt idx="0">
                  <c:v>תכנית ייצור</c:v>
                </c:pt>
              </c:strCache>
            </c:strRef>
          </c:tx>
          <c:marker>
            <c:symbol val="none"/>
          </c:marker>
          <c:cat>
            <c:strRef>
              <c:f>'חלב עודף והעברה בין עונות'!$F$4:$F$15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'חלב עודף והעברה בין עונות'!$G$4:$G$15</c:f>
              <c:numCache>
                <c:formatCode>_ * #,##0_ ;_ * \-#,##0_ ;_ * "-"??_ ;_ @_ </c:formatCode>
                <c:ptCount val="12"/>
                <c:pt idx="0">
                  <c:v>350000</c:v>
                </c:pt>
                <c:pt idx="1">
                  <c:v>350000</c:v>
                </c:pt>
                <c:pt idx="2">
                  <c:v>420000</c:v>
                </c:pt>
                <c:pt idx="3">
                  <c:v>435000</c:v>
                </c:pt>
                <c:pt idx="4">
                  <c:v>460000</c:v>
                </c:pt>
                <c:pt idx="5">
                  <c:v>435000</c:v>
                </c:pt>
                <c:pt idx="6">
                  <c:v>410000</c:v>
                </c:pt>
                <c:pt idx="7">
                  <c:v>400000</c:v>
                </c:pt>
                <c:pt idx="8">
                  <c:v>380000</c:v>
                </c:pt>
                <c:pt idx="9">
                  <c:v>390000</c:v>
                </c:pt>
                <c:pt idx="10">
                  <c:v>360000</c:v>
                </c:pt>
                <c:pt idx="11">
                  <c:v>360000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'חלב עודף והעברה בין עונות'!$H$3</c:f>
              <c:strCache>
                <c:ptCount val="1"/>
                <c:pt idx="0">
                  <c:v>מכסה</c:v>
                </c:pt>
              </c:strCache>
            </c:strRef>
          </c:tx>
          <c:marker>
            <c:symbol val="none"/>
          </c:marker>
          <c:cat>
            <c:strRef>
              <c:f>'חלב עודף והעברה בין עונות'!$F$4:$F$15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'חלב עודף והעברה בין עונות'!$H$4:$H$15</c:f>
              <c:numCache>
                <c:formatCode>_ * #,##0_ ;_ * \-#,##0_ ;_ * "-"??_ ;_ @_ </c:formatCode>
                <c:ptCount val="12"/>
                <c:pt idx="0">
                  <c:v>380700.00000000006</c:v>
                </c:pt>
                <c:pt idx="1">
                  <c:v>347850</c:v>
                </c:pt>
                <c:pt idx="2">
                  <c:v>399150</c:v>
                </c:pt>
                <c:pt idx="3">
                  <c:v>390600</c:v>
                </c:pt>
                <c:pt idx="4">
                  <c:v>408150</c:v>
                </c:pt>
                <c:pt idx="5">
                  <c:v>381600</c:v>
                </c:pt>
                <c:pt idx="6">
                  <c:v>376650</c:v>
                </c:pt>
                <c:pt idx="7">
                  <c:v>361350</c:v>
                </c:pt>
                <c:pt idx="8">
                  <c:v>344700</c:v>
                </c:pt>
                <c:pt idx="9">
                  <c:v>362250</c:v>
                </c:pt>
                <c:pt idx="10">
                  <c:v>360000</c:v>
                </c:pt>
                <c:pt idx="11">
                  <c:v>387000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44160"/>
        <c:axId val="131154304"/>
      </c:lineChart>
      <c:catAx>
        <c:axId val="12564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54304"/>
        <c:crosses val="autoZero"/>
        <c:auto val="1"/>
        <c:lblAlgn val="ctr"/>
        <c:lblOffset val="100"/>
        <c:noMultiLvlLbl val="0"/>
      </c:catAx>
      <c:valAx>
        <c:axId val="13115430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256441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65277777777777779"/>
          <c:y val="0.61072725284339457"/>
          <c:w val="0.20418044619422573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Lit>
              <c:formatCode>General</c:formatCode>
              <c:ptCount val="19"/>
              <c:pt idx="0">
                <c:v>3.4500000000000003E-2</c:v>
              </c:pt>
              <c:pt idx="1">
                <c:v>3.5000000000000003E-2</c:v>
              </c:pt>
              <c:pt idx="2">
                <c:v>3.5499999999999997E-2</c:v>
              </c:pt>
              <c:pt idx="3">
                <c:v>3.5999999999999997E-2</c:v>
              </c:pt>
              <c:pt idx="4">
                <c:v>3.6499999999999998E-2</c:v>
              </c:pt>
              <c:pt idx="5">
                <c:v>3.6999999999999998E-2</c:v>
              </c:pt>
              <c:pt idx="6">
                <c:v>3.7499999999999999E-2</c:v>
              </c:pt>
              <c:pt idx="7">
                <c:v>3.7999999999999999E-2</c:v>
              </c:pt>
              <c:pt idx="8">
                <c:v>3.85E-2</c:v>
              </c:pt>
              <c:pt idx="9">
                <c:v>3.9E-2</c:v>
              </c:pt>
              <c:pt idx="10">
                <c:v>3.95E-2</c:v>
              </c:pt>
              <c:pt idx="11">
                <c:v>0.04</c:v>
              </c:pt>
              <c:pt idx="12">
                <c:v>4.0500000000000001E-2</c:v>
              </c:pt>
              <c:pt idx="13">
                <c:v>4.1000000000000002E-2</c:v>
              </c:pt>
              <c:pt idx="14">
                <c:v>4.1500000000000002E-2</c:v>
              </c:pt>
              <c:pt idx="15">
                <c:v>4.2000000000000003E-2</c:v>
              </c:pt>
              <c:pt idx="16">
                <c:v>4.2500000000000003E-2</c:v>
              </c:pt>
              <c:pt idx="17">
                <c:v>4.2999999999999997E-2</c:v>
              </c:pt>
              <c:pt idx="18">
                <c:v>4.3499999999999997E-2</c:v>
              </c:pt>
            </c:numLit>
          </c:xVal>
          <c:yVal>
            <c:numLit>
              <c:formatCode>General</c:formatCode>
              <c:ptCount val="19"/>
              <c:pt idx="0">
                <c:v>73.323539999999994</c:v>
              </c:pt>
              <c:pt idx="1">
                <c:v>74.386200000000002</c:v>
              </c:pt>
              <c:pt idx="2">
                <c:v>75.448859999999996</c:v>
              </c:pt>
              <c:pt idx="3">
                <c:v>76.511520000000004</c:v>
              </c:pt>
              <c:pt idx="4">
                <c:v>77.574179999999998</c:v>
              </c:pt>
              <c:pt idx="5">
                <c:v>78.636840000000007</c:v>
              </c:pt>
              <c:pt idx="6">
                <c:v>79.6995</c:v>
              </c:pt>
              <c:pt idx="7">
                <c:v>80.762159999999994</c:v>
              </c:pt>
              <c:pt idx="8">
                <c:v>81.824820000000003</c:v>
              </c:pt>
              <c:pt idx="9">
                <c:v>82.887479999999996</c:v>
              </c:pt>
              <c:pt idx="10">
                <c:v>83.950140000000005</c:v>
              </c:pt>
              <c:pt idx="11">
                <c:v>85.202799999999996</c:v>
              </c:pt>
              <c:pt idx="12">
                <c:v>86.455459999999988</c:v>
              </c:pt>
              <c:pt idx="13">
                <c:v>87.898119999999992</c:v>
              </c:pt>
              <c:pt idx="14">
                <c:v>89.340779999999995</c:v>
              </c:pt>
              <c:pt idx="15">
                <c:v>90.973440000000011</c:v>
              </c:pt>
              <c:pt idx="16">
                <c:v>92.606099999999998</c:v>
              </c:pt>
              <c:pt idx="17">
                <c:v>94.238759999999985</c:v>
              </c:pt>
              <c:pt idx="18">
                <c:v>95.871420000000001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90016"/>
        <c:axId val="158792704"/>
      </c:scatterChart>
      <c:valAx>
        <c:axId val="158790016"/>
        <c:scaling>
          <c:orientation val="minMax"/>
          <c:max val="4.5000000000000012E-2"/>
          <c:min val="3.4000000000000009E-2"/>
        </c:scaling>
        <c:delete val="0"/>
        <c:axPos val="b"/>
        <c:numFmt formatCode="General" sourceLinked="1"/>
        <c:majorTickMark val="out"/>
        <c:minorTickMark val="none"/>
        <c:tickLblPos val="nextTo"/>
        <c:crossAx val="158792704"/>
        <c:crosses val="autoZero"/>
        <c:crossBetween val="midCat"/>
      </c:valAx>
      <c:valAx>
        <c:axId val="158792704"/>
        <c:scaling>
          <c:orientation val="minMax"/>
          <c:max val="10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79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17</xdr:row>
      <xdr:rowOff>4762</xdr:rowOff>
    </xdr:from>
    <xdr:to>
      <xdr:col>11</xdr:col>
      <xdr:colOff>314325</xdr:colOff>
      <xdr:row>31</xdr:row>
      <xdr:rowOff>61912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619125</xdr:colOff>
      <xdr:row>21</xdr:row>
      <xdr:rowOff>0</xdr:rowOff>
    </xdr:from>
    <xdr:to>
      <xdr:col>26</xdr:col>
      <xdr:colOff>495300</xdr:colOff>
      <xdr:row>46</xdr:row>
      <xdr:rowOff>38099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opLeftCell="A19" workbookViewId="0">
      <selection activeCell="C26" sqref="C26"/>
    </sheetView>
  </sheetViews>
  <sheetFormatPr defaultRowHeight="14.25" x14ac:dyDescent="0.2"/>
  <cols>
    <col min="2" max="2" width="35.25" customWidth="1"/>
    <col min="3" max="3" width="12.125" customWidth="1"/>
  </cols>
  <sheetData>
    <row r="1" spans="1:9" x14ac:dyDescent="0.2">
      <c r="A1" s="57"/>
      <c r="B1" s="57"/>
      <c r="C1" s="57"/>
      <c r="D1" s="57"/>
      <c r="E1" s="57"/>
      <c r="F1" s="57"/>
      <c r="G1" s="57"/>
      <c r="H1" s="57"/>
      <c r="I1" s="57"/>
    </row>
    <row r="2" spans="1:9" s="1" customFormat="1" x14ac:dyDescent="0.2">
      <c r="A2" s="58"/>
      <c r="B2" s="58"/>
      <c r="C2" s="58"/>
      <c r="D2" s="58"/>
      <c r="E2" s="58"/>
      <c r="F2" s="58"/>
      <c r="G2" s="58"/>
      <c r="H2" s="58"/>
      <c r="I2" s="58"/>
    </row>
    <row r="3" spans="1:9" s="1" customFormat="1" ht="18" x14ac:dyDescent="0.25">
      <c r="A3" s="58"/>
      <c r="B3" s="59" t="s">
        <v>157</v>
      </c>
      <c r="C3" s="58"/>
      <c r="D3" s="58"/>
      <c r="E3" s="58"/>
      <c r="F3" s="58"/>
      <c r="G3" s="58"/>
      <c r="H3" s="58"/>
      <c r="I3" s="58"/>
    </row>
    <row r="4" spans="1:9" s="1" customFormat="1" ht="15" thickBot="1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9" x14ac:dyDescent="0.2">
      <c r="A5" s="57"/>
      <c r="B5" s="193"/>
      <c r="C5" s="194" t="s">
        <v>7</v>
      </c>
      <c r="D5" s="57"/>
      <c r="E5" s="57"/>
      <c r="F5" s="57"/>
      <c r="G5" s="57"/>
      <c r="H5" s="57"/>
      <c r="I5" s="57"/>
    </row>
    <row r="6" spans="1:9" x14ac:dyDescent="0.2">
      <c r="A6" s="57"/>
      <c r="B6" s="193" t="s">
        <v>0</v>
      </c>
      <c r="C6" s="195">
        <v>3.8260000000000002E-2</v>
      </c>
      <c r="D6" s="204" t="s">
        <v>9</v>
      </c>
      <c r="E6" s="205"/>
      <c r="F6" s="205"/>
      <c r="G6" s="206"/>
      <c r="H6" s="57"/>
      <c r="I6" s="57"/>
    </row>
    <row r="7" spans="1:9" x14ac:dyDescent="0.2">
      <c r="A7" s="57"/>
      <c r="B7" s="193" t="s">
        <v>1</v>
      </c>
      <c r="C7" s="195">
        <v>3.4320000000000003E-2</v>
      </c>
      <c r="D7" s="204"/>
      <c r="E7" s="205"/>
      <c r="F7" s="205"/>
      <c r="G7" s="206"/>
      <c r="H7" s="57"/>
      <c r="I7" s="57"/>
    </row>
    <row r="8" spans="1:9" x14ac:dyDescent="0.2">
      <c r="A8" s="57"/>
      <c r="B8" s="193" t="s">
        <v>2</v>
      </c>
      <c r="C8" s="196">
        <v>0.42499999999999999</v>
      </c>
      <c r="D8" s="192"/>
      <c r="E8" s="192"/>
      <c r="F8" s="192"/>
      <c r="G8" s="192"/>
      <c r="H8" s="57"/>
      <c r="I8" s="57"/>
    </row>
    <row r="9" spans="1:9" x14ac:dyDescent="0.2">
      <c r="A9" s="57"/>
      <c r="B9" s="193" t="s">
        <v>3</v>
      </c>
      <c r="C9" s="197">
        <f t="shared" ref="C9" si="0">1-C8</f>
        <v>0.57499999999999996</v>
      </c>
      <c r="D9" s="192"/>
      <c r="E9" s="192"/>
      <c r="F9" s="192"/>
      <c r="G9" s="192"/>
      <c r="H9" s="57"/>
      <c r="I9" s="57"/>
    </row>
    <row r="10" spans="1:9" x14ac:dyDescent="0.2">
      <c r="A10" s="57"/>
      <c r="B10" s="193" t="s">
        <v>4</v>
      </c>
      <c r="C10" s="198">
        <v>0.1</v>
      </c>
      <c r="D10" s="57"/>
      <c r="E10" s="57"/>
      <c r="F10" s="57"/>
      <c r="G10" s="57"/>
      <c r="H10" s="57"/>
      <c r="I10" s="57"/>
    </row>
    <row r="11" spans="1:9" x14ac:dyDescent="0.2">
      <c r="A11" s="57"/>
      <c r="B11" s="193" t="s">
        <v>5</v>
      </c>
      <c r="C11" s="199">
        <f>ROUND((1-C10)/(C6+C7*C13),4)</f>
        <v>10.6266</v>
      </c>
      <c r="D11" s="57"/>
      <c r="E11" s="57"/>
      <c r="F11" s="57"/>
      <c r="G11" s="57"/>
      <c r="H11" s="57"/>
      <c r="I11" s="57"/>
    </row>
    <row r="12" spans="1:9" x14ac:dyDescent="0.2">
      <c r="A12" s="57"/>
      <c r="B12" s="193" t="s">
        <v>6</v>
      </c>
      <c r="C12" s="199">
        <f>ROUND(C11*C13,4)</f>
        <v>14.3772</v>
      </c>
      <c r="D12" s="57"/>
      <c r="E12" s="57"/>
      <c r="F12" s="57"/>
      <c r="G12" s="57"/>
      <c r="H12" s="57"/>
      <c r="I12" s="57"/>
    </row>
    <row r="13" spans="1:9" ht="15" thickBot="1" x14ac:dyDescent="0.25">
      <c r="A13" s="57"/>
      <c r="B13" s="193" t="s">
        <v>8</v>
      </c>
      <c r="C13" s="200">
        <f>C9/C8</f>
        <v>1.3529411764705881</v>
      </c>
      <c r="D13" s="57"/>
      <c r="E13" s="57"/>
      <c r="F13" s="57"/>
      <c r="G13" s="57"/>
      <c r="H13" s="57"/>
      <c r="I13" s="57"/>
    </row>
    <row r="14" spans="1:9" x14ac:dyDescent="0.2">
      <c r="A14" s="57"/>
      <c r="B14" s="57"/>
      <c r="C14" s="57"/>
      <c r="D14" s="57"/>
      <c r="E14" s="57"/>
      <c r="F14" s="57"/>
      <c r="G14" s="57"/>
      <c r="H14" s="57"/>
      <c r="I14" s="57"/>
    </row>
    <row r="15" spans="1:9" x14ac:dyDescent="0.2">
      <c r="A15" s="57"/>
      <c r="B15" s="57"/>
      <c r="C15" s="187" t="s">
        <v>156</v>
      </c>
      <c r="D15" s="57"/>
      <c r="E15" s="57"/>
      <c r="F15" s="57"/>
      <c r="G15" s="57"/>
      <c r="H15" s="57"/>
      <c r="I15" s="57"/>
    </row>
    <row r="16" spans="1:9" x14ac:dyDescent="0.2">
      <c r="A16" s="57"/>
      <c r="B16" s="57" t="s">
        <v>10</v>
      </c>
      <c r="C16" s="201">
        <v>2</v>
      </c>
      <c r="D16" s="57"/>
      <c r="E16" s="57"/>
      <c r="F16" s="57"/>
      <c r="G16" s="57"/>
      <c r="H16" s="57"/>
      <c r="I16" s="57"/>
    </row>
    <row r="17" spans="1:9" x14ac:dyDescent="0.2">
      <c r="A17" s="57"/>
      <c r="B17" s="57" t="s">
        <v>11</v>
      </c>
      <c r="C17" s="69">
        <f t="shared" ref="C17" si="1">3.8/100</f>
        <v>3.7999999999999999E-2</v>
      </c>
      <c r="D17" s="57"/>
      <c r="E17" s="57"/>
      <c r="F17" s="57"/>
      <c r="G17" s="57"/>
      <c r="H17" s="57"/>
      <c r="I17" s="57"/>
    </row>
    <row r="18" spans="1:9" x14ac:dyDescent="0.2">
      <c r="A18" s="57"/>
      <c r="B18" s="57" t="s">
        <v>12</v>
      </c>
      <c r="C18" s="202">
        <f t="shared" ref="C18" si="2">C16+C17</f>
        <v>2.0379999999999998</v>
      </c>
      <c r="D18" s="57"/>
      <c r="E18" s="57"/>
      <c r="F18" s="57"/>
      <c r="G18" s="57"/>
      <c r="H18" s="57"/>
      <c r="I18" s="57"/>
    </row>
    <row r="19" spans="1:9" x14ac:dyDescent="0.2">
      <c r="A19" s="57"/>
      <c r="B19" s="57"/>
      <c r="C19" s="57"/>
      <c r="D19" s="57"/>
      <c r="E19" s="57"/>
      <c r="F19" s="57"/>
      <c r="G19" s="57"/>
      <c r="H19" s="57"/>
      <c r="I19" s="57"/>
    </row>
    <row r="20" spans="1:9" x14ac:dyDescent="0.2">
      <c r="A20" s="57"/>
      <c r="B20" s="57" t="s">
        <v>13</v>
      </c>
      <c r="C20" s="69">
        <f t="shared" ref="C20" si="3">C11*C16</f>
        <v>21.2532</v>
      </c>
      <c r="D20" s="57"/>
      <c r="E20" s="57"/>
      <c r="F20" s="57"/>
      <c r="G20" s="57"/>
      <c r="H20" s="57"/>
      <c r="I20" s="57"/>
    </row>
    <row r="21" spans="1:9" x14ac:dyDescent="0.2">
      <c r="A21" s="57"/>
      <c r="B21" s="57" t="s">
        <v>14</v>
      </c>
      <c r="C21" s="69">
        <f t="shared" ref="C21" si="4">C16*C12</f>
        <v>28.7544</v>
      </c>
      <c r="D21" s="57"/>
      <c r="E21" s="57"/>
      <c r="F21" s="57"/>
      <c r="G21" s="57"/>
      <c r="H21" s="57"/>
      <c r="I21" s="57"/>
    </row>
    <row r="22" spans="1:9" x14ac:dyDescent="0.2">
      <c r="A22" s="57"/>
      <c r="B22" s="57" t="s">
        <v>15</v>
      </c>
      <c r="C22" s="69">
        <f t="shared" ref="C22" si="5">C16*C10</f>
        <v>0.2</v>
      </c>
      <c r="D22" s="57"/>
      <c r="E22" s="57"/>
      <c r="F22" s="57"/>
      <c r="G22" s="57"/>
      <c r="H22" s="57"/>
      <c r="I22" s="57"/>
    </row>
    <row r="23" spans="1:9" x14ac:dyDescent="0.2">
      <c r="A23" s="57"/>
      <c r="B23" s="57" t="s">
        <v>16</v>
      </c>
      <c r="C23" s="70">
        <f t="shared" ref="C23" si="6">C17+C22</f>
        <v>0.23800000000000002</v>
      </c>
      <c r="D23" s="57"/>
      <c r="E23" s="57"/>
      <c r="F23" s="57"/>
      <c r="G23" s="57"/>
      <c r="H23" s="57"/>
      <c r="I23" s="57"/>
    </row>
    <row r="24" spans="1:9" x14ac:dyDescent="0.2">
      <c r="A24" s="57"/>
      <c r="B24" s="57"/>
      <c r="C24" s="57"/>
      <c r="D24" s="57"/>
      <c r="E24" s="57"/>
      <c r="F24" s="57"/>
      <c r="G24" s="57"/>
      <c r="H24" s="57"/>
      <c r="I24" s="57"/>
    </row>
    <row r="25" spans="1:9" ht="15" x14ac:dyDescent="0.25">
      <c r="A25" s="57"/>
      <c r="B25" s="71" t="s">
        <v>17</v>
      </c>
      <c r="C25" s="53">
        <v>0.04</v>
      </c>
      <c r="D25" s="57"/>
      <c r="E25" s="57"/>
      <c r="F25" s="57"/>
      <c r="G25" s="57"/>
      <c r="H25" s="57"/>
      <c r="I25" s="57"/>
    </row>
    <row r="26" spans="1:9" ht="15" x14ac:dyDescent="0.25">
      <c r="A26" s="57"/>
      <c r="B26" s="71" t="s">
        <v>18</v>
      </c>
      <c r="C26" s="53">
        <v>0.04</v>
      </c>
      <c r="D26" s="57"/>
      <c r="E26" s="57"/>
      <c r="F26" s="57"/>
      <c r="G26" s="57"/>
      <c r="H26" s="57"/>
      <c r="I26" s="57"/>
    </row>
    <row r="27" spans="1:9" x14ac:dyDescent="0.2">
      <c r="A27" s="57"/>
      <c r="B27" s="57" t="s">
        <v>19</v>
      </c>
      <c r="C27" s="70">
        <f t="shared" ref="C27" si="7">C25*C20+C26*C21+C22</f>
        <v>2.200304</v>
      </c>
      <c r="D27" s="57"/>
      <c r="E27" s="57"/>
      <c r="F27" s="57"/>
      <c r="G27" s="57"/>
      <c r="H27" s="57"/>
      <c r="I27" s="57"/>
    </row>
    <row r="28" spans="1:9" x14ac:dyDescent="0.2">
      <c r="A28" s="57"/>
      <c r="B28" s="57" t="s">
        <v>20</v>
      </c>
      <c r="C28" s="70">
        <f t="shared" ref="C28" si="8">C27+C17</f>
        <v>2.2383039999999998</v>
      </c>
      <c r="D28" s="57"/>
      <c r="E28" s="57"/>
      <c r="F28" s="57"/>
      <c r="G28" s="57"/>
      <c r="H28" s="57"/>
      <c r="I28" s="57"/>
    </row>
    <row r="29" spans="1:9" x14ac:dyDescent="0.2">
      <c r="A29" s="57"/>
      <c r="B29" s="57"/>
      <c r="C29" s="70"/>
      <c r="D29" s="57"/>
      <c r="E29" s="57"/>
      <c r="F29" s="57"/>
      <c r="G29" s="57"/>
      <c r="H29" s="57"/>
      <c r="I29" s="57"/>
    </row>
    <row r="30" spans="1:9" x14ac:dyDescent="0.2">
      <c r="A30" s="57"/>
      <c r="B30" s="72" t="s">
        <v>21</v>
      </c>
      <c r="C30" s="70">
        <f t="shared" ref="C30" si="9">C27-C16</f>
        <v>0.20030400000000004</v>
      </c>
      <c r="D30" s="57"/>
      <c r="E30" s="57"/>
      <c r="F30" s="57"/>
      <c r="G30" s="57"/>
      <c r="H30" s="57"/>
      <c r="I30" s="57"/>
    </row>
    <row r="31" spans="1:9" x14ac:dyDescent="0.2">
      <c r="A31" s="57"/>
      <c r="B31" s="57" t="s">
        <v>125</v>
      </c>
      <c r="C31" s="57"/>
      <c r="D31" s="57"/>
      <c r="E31" s="57"/>
      <c r="F31" s="57"/>
      <c r="G31" s="57"/>
      <c r="H31" s="57"/>
      <c r="I31" s="57"/>
    </row>
    <row r="32" spans="1:9" x14ac:dyDescent="0.2">
      <c r="A32" s="57"/>
      <c r="B32" s="57"/>
      <c r="C32" s="57"/>
      <c r="D32" s="57"/>
      <c r="E32" s="57"/>
      <c r="F32" s="57"/>
      <c r="G32" s="57"/>
      <c r="H32" s="57"/>
      <c r="I32" s="57"/>
    </row>
    <row r="33" spans="1:9" x14ac:dyDescent="0.2">
      <c r="A33" s="57"/>
      <c r="B33" s="57" t="s">
        <v>92</v>
      </c>
      <c r="C33" s="73">
        <f>C27/C16</f>
        <v>1.100152</v>
      </c>
      <c r="D33" s="57"/>
      <c r="E33" s="57"/>
      <c r="F33" s="57"/>
      <c r="G33" s="57"/>
      <c r="H33" s="57"/>
      <c r="I33" s="57"/>
    </row>
  </sheetData>
  <sheetProtection sheet="1" objects="1" scenarios="1" selectLockedCells="1"/>
  <mergeCells count="1">
    <mergeCell ref="D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8"/>
  <sheetViews>
    <sheetView rightToLeft="1" topLeftCell="E13" workbookViewId="0">
      <selection activeCell="C15" sqref="C15"/>
    </sheetView>
  </sheetViews>
  <sheetFormatPr defaultRowHeight="15" x14ac:dyDescent="0.25"/>
  <cols>
    <col min="1" max="1" width="6.75" style="2" customWidth="1"/>
    <col min="2" max="2" width="23.375" style="2" customWidth="1"/>
    <col min="3" max="3" width="15.625" style="2" customWidth="1"/>
    <col min="4" max="4" width="14.625" style="2" customWidth="1"/>
    <col min="5" max="5" width="12.375" style="2" bestFit="1" customWidth="1"/>
    <col min="6" max="6" width="14" style="2" customWidth="1"/>
    <col min="7" max="7" width="19.5" style="2" customWidth="1"/>
    <col min="8" max="8" width="13" style="2" customWidth="1"/>
    <col min="9" max="9" width="13.375" style="2" customWidth="1"/>
    <col min="10" max="10" width="12.5" style="2" customWidth="1"/>
    <col min="11" max="12" width="9.875" style="2" bestFit="1" customWidth="1"/>
    <col min="13" max="13" width="9" style="2"/>
    <col min="14" max="14" width="14" style="2" customWidth="1"/>
    <col min="15" max="15" width="12.875" style="2" customWidth="1"/>
    <col min="16" max="20" width="14.75" style="2" customWidth="1"/>
    <col min="21" max="21" width="13.75" style="2" customWidth="1"/>
    <col min="22" max="22" width="17.625" style="2" customWidth="1"/>
    <col min="23" max="16384" width="9" style="2"/>
  </cols>
  <sheetData>
    <row r="1" spans="1:34" s="21" customForma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Z1" s="21" t="s">
        <v>155</v>
      </c>
    </row>
    <row r="2" spans="1:34" s="21" customFormat="1" ht="15.75" thickBot="1" x14ac:dyDescent="0.3">
      <c r="A2" s="24"/>
      <c r="B2" s="24" t="s">
        <v>22</v>
      </c>
      <c r="C2" s="22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X2" s="24"/>
      <c r="Y2" s="24"/>
      <c r="Z2" s="26">
        <v>1.03</v>
      </c>
      <c r="AA2" s="80" t="s">
        <v>117</v>
      </c>
      <c r="AB2" s="80" t="s">
        <v>118</v>
      </c>
      <c r="AC2" s="80" t="s">
        <v>119</v>
      </c>
      <c r="AD2" s="80" t="s">
        <v>120</v>
      </c>
      <c r="AE2" s="80" t="s">
        <v>121</v>
      </c>
      <c r="AF2" s="26" t="s">
        <v>122</v>
      </c>
      <c r="AG2" s="26" t="s">
        <v>123</v>
      </c>
      <c r="AH2" s="26"/>
    </row>
    <row r="3" spans="1:34" s="21" customFormat="1" x14ac:dyDescent="0.25">
      <c r="A3" s="24"/>
      <c r="B3" s="24"/>
      <c r="C3" s="28"/>
      <c r="D3" s="24"/>
      <c r="E3" s="24"/>
      <c r="F3" s="24"/>
      <c r="G3" s="26" t="s">
        <v>99</v>
      </c>
      <c r="H3" s="26" t="s">
        <v>51</v>
      </c>
      <c r="I3" s="26" t="s">
        <v>100</v>
      </c>
      <c r="J3" s="26" t="s">
        <v>101</v>
      </c>
      <c r="K3" s="24"/>
      <c r="L3" s="24"/>
      <c r="M3" s="24"/>
      <c r="N3" s="24"/>
      <c r="X3" s="24"/>
      <c r="Y3" s="24"/>
      <c r="Z3" s="188">
        <v>44166</v>
      </c>
      <c r="AA3" s="49">
        <v>300</v>
      </c>
      <c r="AB3" s="121">
        <v>0.1</v>
      </c>
      <c r="AC3" s="189">
        <v>2.7E-2</v>
      </c>
      <c r="AD3" s="26">
        <v>38</v>
      </c>
      <c r="AE3" s="47">
        <f>(AA3+AD3)-(AC3+AB3)*AA3</f>
        <v>299.89999999999998</v>
      </c>
      <c r="AF3" s="26"/>
      <c r="AG3" s="45"/>
      <c r="AH3" s="26">
        <v>31</v>
      </c>
    </row>
    <row r="4" spans="1:34" s="21" customFormat="1" ht="15.75" thickBot="1" x14ac:dyDescent="0.3">
      <c r="A4" s="24"/>
      <c r="B4" s="24" t="s">
        <v>24</v>
      </c>
      <c r="C4" s="22" t="s">
        <v>25</v>
      </c>
      <c r="D4" s="24"/>
      <c r="E4" s="24"/>
      <c r="F4" s="26" t="s">
        <v>35</v>
      </c>
      <c r="G4" s="248">
        <v>350000</v>
      </c>
      <c r="H4" s="47">
        <f>F44</f>
        <v>380700.00000000006</v>
      </c>
      <c r="I4" s="48">
        <f>G4</f>
        <v>350000</v>
      </c>
      <c r="J4" s="33">
        <f>H4</f>
        <v>380700.00000000006</v>
      </c>
      <c r="K4" s="24"/>
      <c r="L4" s="24"/>
      <c r="M4" s="24"/>
      <c r="N4" s="24"/>
      <c r="X4" s="24"/>
      <c r="Y4" s="24"/>
      <c r="Z4" s="188">
        <v>44197</v>
      </c>
      <c r="AA4" s="47">
        <f>AE3</f>
        <v>299.89999999999998</v>
      </c>
      <c r="AB4" s="121">
        <v>0.1</v>
      </c>
      <c r="AC4" s="189">
        <v>2.7E-2</v>
      </c>
      <c r="AD4" s="26">
        <v>38</v>
      </c>
      <c r="AE4" s="47">
        <f>(AA4+AD4)-(AC4+AB4)*AA4</f>
        <v>299.81269999999995</v>
      </c>
      <c r="AF4" s="45">
        <v>39</v>
      </c>
      <c r="AG4" s="47">
        <f t="shared" ref="AG4:AG15" si="0">AF4*AA4*AH4/$Z$2</f>
        <v>352018.54368932033</v>
      </c>
      <c r="AH4" s="26">
        <v>31</v>
      </c>
    </row>
    <row r="5" spans="1:34" s="21" customFormat="1" x14ac:dyDescent="0.25">
      <c r="A5" s="24"/>
      <c r="B5" s="24"/>
      <c r="C5" s="28"/>
      <c r="D5" s="24"/>
      <c r="E5" s="24"/>
      <c r="F5" s="26" t="s">
        <v>36</v>
      </c>
      <c r="G5" s="248">
        <v>350000</v>
      </c>
      <c r="H5" s="47">
        <f t="shared" ref="H5:H15" si="1">F45</f>
        <v>347850</v>
      </c>
      <c r="I5" s="48">
        <f>I4+G5</f>
        <v>700000</v>
      </c>
      <c r="J5" s="33">
        <f>J4+H5</f>
        <v>728550</v>
      </c>
      <c r="K5" s="24"/>
      <c r="L5" s="24"/>
      <c r="M5" s="24"/>
      <c r="N5" s="24"/>
      <c r="X5" s="24"/>
      <c r="Y5" s="24"/>
      <c r="Z5" s="188">
        <v>44228</v>
      </c>
      <c r="AA5" s="47">
        <f t="shared" ref="AA5:AA15" si="2">AE4</f>
        <v>299.81269999999995</v>
      </c>
      <c r="AB5" s="121">
        <v>0.1</v>
      </c>
      <c r="AC5" s="189">
        <v>2.7E-2</v>
      </c>
      <c r="AD5" s="26">
        <v>38</v>
      </c>
      <c r="AE5" s="47">
        <f t="shared" ref="AE5:AE15" si="3">(AA5+AD5)-(AC5+AB5)*AA5</f>
        <v>299.73648709999998</v>
      </c>
      <c r="AF5" s="45">
        <v>39</v>
      </c>
      <c r="AG5" s="47">
        <f t="shared" si="0"/>
        <v>317859.67805825238</v>
      </c>
      <c r="AH5" s="26">
        <v>28</v>
      </c>
    </row>
    <row r="6" spans="1:34" s="21" customFormat="1" x14ac:dyDescent="0.25">
      <c r="A6" s="24"/>
      <c r="B6" s="24" t="s">
        <v>26</v>
      </c>
      <c r="C6" s="23">
        <v>1</v>
      </c>
      <c r="D6" s="74" t="s">
        <v>27</v>
      </c>
      <c r="E6" s="74"/>
      <c r="F6" s="26" t="s">
        <v>37</v>
      </c>
      <c r="G6" s="248">
        <v>420000</v>
      </c>
      <c r="H6" s="47">
        <f t="shared" si="1"/>
        <v>399150</v>
      </c>
      <c r="I6" s="48">
        <f t="shared" ref="I6:I15" si="4">I5+G6</f>
        <v>1120000</v>
      </c>
      <c r="J6" s="33">
        <f t="shared" ref="J6:J15" si="5">J5+H6</f>
        <v>1127700</v>
      </c>
      <c r="K6" s="24"/>
      <c r="L6" s="24"/>
      <c r="M6" s="24"/>
      <c r="N6" s="24"/>
      <c r="X6" s="24"/>
      <c r="Y6" s="24"/>
      <c r="Z6" s="188">
        <v>44256</v>
      </c>
      <c r="AA6" s="47">
        <f t="shared" si="2"/>
        <v>299.73648709999998</v>
      </c>
      <c r="AB6" s="121">
        <v>0.1</v>
      </c>
      <c r="AC6" s="189">
        <v>2.7E-2</v>
      </c>
      <c r="AD6" s="26">
        <v>38</v>
      </c>
      <c r="AE6" s="47">
        <f t="shared" si="3"/>
        <v>299.66995323829997</v>
      </c>
      <c r="AF6" s="45">
        <v>39</v>
      </c>
      <c r="AG6" s="47">
        <f t="shared" si="0"/>
        <v>351826.61446980585</v>
      </c>
      <c r="AH6" s="26">
        <v>31</v>
      </c>
    </row>
    <row r="7" spans="1:34" s="21" customFormat="1" x14ac:dyDescent="0.25">
      <c r="A7" s="24"/>
      <c r="B7" s="24"/>
      <c r="C7" s="24"/>
      <c r="D7" s="24"/>
      <c r="E7" s="24"/>
      <c r="F7" s="26" t="s">
        <v>38</v>
      </c>
      <c r="G7" s="248">
        <v>435000</v>
      </c>
      <c r="H7" s="47">
        <f t="shared" si="1"/>
        <v>390600</v>
      </c>
      <c r="I7" s="48">
        <f t="shared" si="4"/>
        <v>1555000</v>
      </c>
      <c r="J7" s="33">
        <f t="shared" si="5"/>
        <v>1518300</v>
      </c>
      <c r="K7" s="24"/>
      <c r="L7" s="24"/>
      <c r="M7" s="24"/>
      <c r="N7" s="24"/>
      <c r="X7" s="24"/>
      <c r="Y7" s="24"/>
      <c r="Z7" s="188">
        <v>44287</v>
      </c>
      <c r="AA7" s="47">
        <f t="shared" si="2"/>
        <v>299.66995323829997</v>
      </c>
      <c r="AB7" s="121">
        <v>0.1</v>
      </c>
      <c r="AC7" s="189">
        <v>2.7E-2</v>
      </c>
      <c r="AD7" s="26">
        <v>38</v>
      </c>
      <c r="AE7" s="47">
        <f t="shared" si="3"/>
        <v>299.61186917703589</v>
      </c>
      <c r="AF7" s="45">
        <v>39</v>
      </c>
      <c r="AG7" s="47">
        <f t="shared" si="0"/>
        <v>340401.79154253495</v>
      </c>
      <c r="AH7" s="26">
        <v>30</v>
      </c>
    </row>
    <row r="8" spans="1:34" s="21" customFormat="1" x14ac:dyDescent="0.25">
      <c r="A8" s="24"/>
      <c r="B8" s="24" t="s">
        <v>90</v>
      </c>
      <c r="C8" s="249">
        <v>4500000</v>
      </c>
      <c r="D8" s="24" t="s">
        <v>28</v>
      </c>
      <c r="E8" s="24"/>
      <c r="F8" s="26" t="s">
        <v>39</v>
      </c>
      <c r="G8" s="248">
        <v>460000</v>
      </c>
      <c r="H8" s="49">
        <f t="shared" si="1"/>
        <v>408150</v>
      </c>
      <c r="I8" s="50">
        <f t="shared" si="4"/>
        <v>2015000</v>
      </c>
      <c r="J8" s="51">
        <f t="shared" si="5"/>
        <v>1926450</v>
      </c>
      <c r="K8" s="24"/>
      <c r="L8" s="24"/>
      <c r="M8" s="24"/>
      <c r="N8" s="24"/>
      <c r="X8" s="24"/>
      <c r="Y8" s="24"/>
      <c r="Z8" s="188">
        <v>44317</v>
      </c>
      <c r="AA8" s="47">
        <f t="shared" si="2"/>
        <v>299.61186917703589</v>
      </c>
      <c r="AB8" s="121">
        <v>0.1</v>
      </c>
      <c r="AC8" s="189">
        <v>2.7E-2</v>
      </c>
      <c r="AD8" s="26">
        <v>38</v>
      </c>
      <c r="AE8" s="47">
        <f t="shared" si="3"/>
        <v>299.56116179155231</v>
      </c>
      <c r="AF8" s="45">
        <v>39</v>
      </c>
      <c r="AG8" s="47">
        <f t="shared" si="0"/>
        <v>351680.33964566636</v>
      </c>
      <c r="AH8" s="26">
        <v>31</v>
      </c>
    </row>
    <row r="9" spans="1:34" s="21" customFormat="1" x14ac:dyDescent="0.25">
      <c r="A9" s="24"/>
      <c r="B9" s="24"/>
      <c r="C9" s="27"/>
      <c r="D9" s="24"/>
      <c r="E9" s="24"/>
      <c r="F9" s="26" t="s">
        <v>40</v>
      </c>
      <c r="G9" s="248">
        <v>435000</v>
      </c>
      <c r="H9" s="49">
        <f t="shared" si="1"/>
        <v>381600</v>
      </c>
      <c r="I9" s="50">
        <f t="shared" si="4"/>
        <v>2450000</v>
      </c>
      <c r="J9" s="51">
        <f t="shared" si="5"/>
        <v>2308050</v>
      </c>
      <c r="K9" s="24"/>
      <c r="L9" s="24"/>
      <c r="M9" s="24"/>
      <c r="N9" s="24"/>
      <c r="X9" s="24"/>
      <c r="Y9" s="24"/>
      <c r="Z9" s="188">
        <v>44348</v>
      </c>
      <c r="AA9" s="47">
        <f t="shared" si="2"/>
        <v>299.56116179155231</v>
      </c>
      <c r="AB9" s="121">
        <v>0.1</v>
      </c>
      <c r="AC9" s="189">
        <v>2.7E-2</v>
      </c>
      <c r="AD9" s="26">
        <v>38</v>
      </c>
      <c r="AE9" s="47">
        <f t="shared" si="3"/>
        <v>299.51689424402514</v>
      </c>
      <c r="AF9" s="45">
        <v>39</v>
      </c>
      <c r="AG9" s="47">
        <f t="shared" si="0"/>
        <v>340278.21290885069</v>
      </c>
      <c r="AH9" s="26">
        <v>30</v>
      </c>
    </row>
    <row r="10" spans="1:34" s="21" customFormat="1" x14ac:dyDescent="0.25">
      <c r="A10" s="24"/>
      <c r="B10" s="24"/>
      <c r="C10" s="27"/>
      <c r="D10" s="24"/>
      <c r="E10" s="24"/>
      <c r="F10" s="26" t="s">
        <v>41</v>
      </c>
      <c r="G10" s="248">
        <v>410000</v>
      </c>
      <c r="H10" s="49">
        <f t="shared" si="1"/>
        <v>376650</v>
      </c>
      <c r="I10" s="50">
        <f t="shared" si="4"/>
        <v>2860000</v>
      </c>
      <c r="J10" s="51">
        <f t="shared" si="5"/>
        <v>2684700</v>
      </c>
      <c r="K10" s="24"/>
      <c r="L10" s="24"/>
      <c r="M10" s="24"/>
      <c r="N10" s="24"/>
      <c r="X10" s="24"/>
      <c r="Y10" s="24"/>
      <c r="Z10" s="188">
        <v>44378</v>
      </c>
      <c r="AA10" s="47">
        <f t="shared" si="2"/>
        <v>299.51689424402514</v>
      </c>
      <c r="AB10" s="121">
        <v>0.1</v>
      </c>
      <c r="AC10" s="189">
        <v>2.7E-2</v>
      </c>
      <c r="AD10" s="26">
        <v>38</v>
      </c>
      <c r="AE10" s="47">
        <f t="shared" si="3"/>
        <v>299.47824867503397</v>
      </c>
      <c r="AF10" s="45">
        <v>39</v>
      </c>
      <c r="AG10" s="47">
        <f t="shared" si="0"/>
        <v>351568.85936021979</v>
      </c>
      <c r="AH10" s="26">
        <v>31</v>
      </c>
    </row>
    <row r="11" spans="1:34" s="21" customFormat="1" x14ac:dyDescent="0.25">
      <c r="A11" s="24"/>
      <c r="B11" s="25" t="s">
        <v>97</v>
      </c>
      <c r="C11" s="24"/>
      <c r="D11" s="24"/>
      <c r="E11" s="24"/>
      <c r="F11" s="26" t="s">
        <v>42</v>
      </c>
      <c r="G11" s="248">
        <v>400000</v>
      </c>
      <c r="H11" s="49">
        <f t="shared" si="1"/>
        <v>361350</v>
      </c>
      <c r="I11" s="50">
        <f t="shared" si="4"/>
        <v>3260000</v>
      </c>
      <c r="J11" s="51">
        <f t="shared" si="5"/>
        <v>3046050</v>
      </c>
      <c r="K11" s="24"/>
      <c r="L11" s="24"/>
      <c r="M11" s="24"/>
      <c r="N11" s="24"/>
      <c r="X11" s="24"/>
      <c r="Y11" s="24"/>
      <c r="Z11" s="188">
        <v>44409</v>
      </c>
      <c r="AA11" s="47">
        <f t="shared" si="2"/>
        <v>299.47824867503397</v>
      </c>
      <c r="AB11" s="121">
        <v>0.1</v>
      </c>
      <c r="AC11" s="189">
        <v>2.7E-2</v>
      </c>
      <c r="AD11" s="26">
        <v>38</v>
      </c>
      <c r="AE11" s="47">
        <f t="shared" si="3"/>
        <v>299.44451109330464</v>
      </c>
      <c r="AF11" s="45">
        <v>39</v>
      </c>
      <c r="AG11" s="47">
        <f t="shared" si="0"/>
        <v>351523.49771661748</v>
      </c>
      <c r="AH11" s="26">
        <v>31</v>
      </c>
    </row>
    <row r="12" spans="1:34" s="21" customFormat="1" x14ac:dyDescent="0.25">
      <c r="A12" s="24"/>
      <c r="B12" s="26" t="s">
        <v>93</v>
      </c>
      <c r="C12" s="250">
        <v>1.96</v>
      </c>
      <c r="D12" s="24"/>
      <c r="E12" s="24"/>
      <c r="F12" s="26" t="s">
        <v>43</v>
      </c>
      <c r="G12" s="248">
        <v>380000</v>
      </c>
      <c r="H12" s="49">
        <f t="shared" si="1"/>
        <v>344700</v>
      </c>
      <c r="I12" s="50">
        <f t="shared" si="4"/>
        <v>3640000</v>
      </c>
      <c r="J12" s="51">
        <f t="shared" si="5"/>
        <v>3390750</v>
      </c>
      <c r="K12" s="24"/>
      <c r="L12" s="24"/>
      <c r="M12" s="24"/>
      <c r="N12" s="24"/>
      <c r="X12" s="24"/>
      <c r="Y12" s="24"/>
      <c r="Z12" s="188">
        <v>44440</v>
      </c>
      <c r="AA12" s="47">
        <f t="shared" si="2"/>
        <v>299.44451109330464</v>
      </c>
      <c r="AB12" s="121">
        <v>0.1</v>
      </c>
      <c r="AC12" s="189">
        <v>2.7E-2</v>
      </c>
      <c r="AD12" s="26">
        <v>38</v>
      </c>
      <c r="AE12" s="47">
        <f t="shared" si="3"/>
        <v>299.41505818445495</v>
      </c>
      <c r="AF12" s="45">
        <v>39</v>
      </c>
      <c r="AG12" s="47">
        <f t="shared" si="0"/>
        <v>340145.70677588979</v>
      </c>
      <c r="AH12" s="26">
        <v>30</v>
      </c>
    </row>
    <row r="13" spans="1:34" s="21" customFormat="1" x14ac:dyDescent="0.25">
      <c r="A13" s="24"/>
      <c r="B13" s="26" t="s">
        <v>94</v>
      </c>
      <c r="C13" s="250">
        <v>1.99</v>
      </c>
      <c r="D13" s="24"/>
      <c r="E13" s="24"/>
      <c r="F13" s="26" t="s">
        <v>44</v>
      </c>
      <c r="G13" s="248">
        <v>390000</v>
      </c>
      <c r="H13" s="49">
        <f t="shared" si="1"/>
        <v>362250</v>
      </c>
      <c r="I13" s="50">
        <f t="shared" si="4"/>
        <v>4030000</v>
      </c>
      <c r="J13" s="51">
        <f t="shared" si="5"/>
        <v>3753000</v>
      </c>
      <c r="K13" s="24"/>
      <c r="L13" s="24"/>
      <c r="M13" s="24"/>
      <c r="N13" s="24"/>
      <c r="X13" s="24"/>
      <c r="Y13" s="24"/>
      <c r="Z13" s="188">
        <v>44470</v>
      </c>
      <c r="AA13" s="47">
        <f t="shared" si="2"/>
        <v>299.41505818445495</v>
      </c>
      <c r="AB13" s="121">
        <v>0.1</v>
      </c>
      <c r="AC13" s="189">
        <v>2.7E-2</v>
      </c>
      <c r="AD13" s="26">
        <v>38</v>
      </c>
      <c r="AE13" s="47">
        <f t="shared" si="3"/>
        <v>299.38934579502916</v>
      </c>
      <c r="AF13" s="45">
        <v>39</v>
      </c>
      <c r="AG13" s="47">
        <f t="shared" si="0"/>
        <v>351449.32557767571</v>
      </c>
      <c r="AH13" s="26">
        <v>31</v>
      </c>
    </row>
    <row r="14" spans="1:34" s="21" customFormat="1" x14ac:dyDescent="0.25">
      <c r="A14" s="24"/>
      <c r="B14" s="26" t="s">
        <v>95</v>
      </c>
      <c r="C14" s="250">
        <v>1.98</v>
      </c>
      <c r="D14" s="24"/>
      <c r="E14" s="24"/>
      <c r="F14" s="26" t="s">
        <v>45</v>
      </c>
      <c r="G14" s="248">
        <v>360000</v>
      </c>
      <c r="H14" s="52">
        <f t="shared" si="1"/>
        <v>360000</v>
      </c>
      <c r="I14" s="48">
        <f t="shared" si="4"/>
        <v>4390000</v>
      </c>
      <c r="J14" s="33">
        <f t="shared" si="5"/>
        <v>4113000</v>
      </c>
      <c r="K14" s="24"/>
      <c r="L14" s="24"/>
      <c r="M14" s="24"/>
      <c r="N14" s="24"/>
      <c r="X14" s="24"/>
      <c r="Y14" s="24"/>
      <c r="Z14" s="188">
        <v>44501</v>
      </c>
      <c r="AA14" s="47">
        <f t="shared" si="2"/>
        <v>299.38934579502916</v>
      </c>
      <c r="AB14" s="121">
        <v>0.1</v>
      </c>
      <c r="AC14" s="189">
        <v>2.7E-2</v>
      </c>
      <c r="AD14" s="26">
        <v>38</v>
      </c>
      <c r="AE14" s="47">
        <f t="shared" si="3"/>
        <v>299.36689887906044</v>
      </c>
      <c r="AF14" s="45">
        <v>39</v>
      </c>
      <c r="AG14" s="47">
        <f t="shared" si="0"/>
        <v>340083.04328173219</v>
      </c>
      <c r="AH14" s="26">
        <v>30</v>
      </c>
    </row>
    <row r="15" spans="1:34" s="21" customFormat="1" x14ac:dyDescent="0.25">
      <c r="A15" s="24"/>
      <c r="B15" s="26" t="s">
        <v>96</v>
      </c>
      <c r="C15" s="250">
        <v>1.97</v>
      </c>
      <c r="D15" s="24"/>
      <c r="E15" s="24"/>
      <c r="F15" s="26" t="s">
        <v>46</v>
      </c>
      <c r="G15" s="248">
        <v>360000</v>
      </c>
      <c r="H15" s="52">
        <f t="shared" si="1"/>
        <v>387000</v>
      </c>
      <c r="I15" s="48">
        <f t="shared" si="4"/>
        <v>4750000</v>
      </c>
      <c r="J15" s="33">
        <f t="shared" si="5"/>
        <v>4500000</v>
      </c>
      <c r="K15" s="24"/>
      <c r="L15" s="24"/>
      <c r="M15" s="24"/>
      <c r="N15" s="24"/>
      <c r="X15" s="24"/>
      <c r="Y15" s="24"/>
      <c r="Z15" s="188">
        <v>44531</v>
      </c>
      <c r="AA15" s="47">
        <f t="shared" si="2"/>
        <v>299.36689887906044</v>
      </c>
      <c r="AB15" s="121">
        <v>0.1</v>
      </c>
      <c r="AC15" s="189">
        <v>2.7E-2</v>
      </c>
      <c r="AD15" s="26">
        <v>38</v>
      </c>
      <c r="AE15" s="47">
        <f t="shared" si="3"/>
        <v>299.34730272141974</v>
      </c>
      <c r="AF15" s="45">
        <v>39</v>
      </c>
      <c r="AG15" s="47">
        <f t="shared" si="0"/>
        <v>351392.79683959612</v>
      </c>
      <c r="AH15" s="26">
        <v>31</v>
      </c>
    </row>
    <row r="16" spans="1:34" s="21" customFormat="1" x14ac:dyDescent="0.25">
      <c r="A16" s="24"/>
      <c r="B16" s="26" t="s">
        <v>108</v>
      </c>
      <c r="C16" s="54">
        <f>H57</f>
        <v>1.9757473684210527</v>
      </c>
      <c r="D16" s="24"/>
      <c r="E16" s="24"/>
      <c r="F16" s="26" t="s">
        <v>98</v>
      </c>
      <c r="G16" s="33">
        <f>SUM(G4:G15)</f>
        <v>4750000</v>
      </c>
      <c r="H16" s="33">
        <f>SUM(H4:H15)</f>
        <v>4500000</v>
      </c>
      <c r="I16" s="24"/>
      <c r="J16" s="24"/>
      <c r="K16" s="24"/>
      <c r="L16" s="24"/>
      <c r="M16" s="24"/>
      <c r="N16" s="24"/>
      <c r="X16" s="24"/>
      <c r="Y16" s="24"/>
      <c r="Z16" s="30" t="s">
        <v>124</v>
      </c>
      <c r="AA16" s="36">
        <f>AVERAGE(AA4:AA15)</f>
        <v>299.57526068148309</v>
      </c>
      <c r="AB16" s="39">
        <f>AVERAGE(AB4:AB15)</f>
        <v>9.9999999999999992E-2</v>
      </c>
      <c r="AC16" s="190">
        <f>SUM(AC4:AC15)</f>
        <v>0.32400000000000007</v>
      </c>
      <c r="AD16" s="92">
        <f>SUM(AD4:AD15)</f>
        <v>456</v>
      </c>
      <c r="AE16" s="36">
        <f>AVERAGE(AE4:AE15)</f>
        <v>299.52920257493469</v>
      </c>
      <c r="AF16" s="191">
        <f>AG16/AH16/AA16*Z2</f>
        <v>38.999830137236863</v>
      </c>
      <c r="AG16" s="36">
        <f>SUM(AG4:AG15)</f>
        <v>4140228.4098661616</v>
      </c>
      <c r="AH16" s="36">
        <f>SUM(AH4:AH15)</f>
        <v>365</v>
      </c>
    </row>
    <row r="17" spans="1:25" s="21" customFormat="1" x14ac:dyDescent="0.25">
      <c r="A17" s="24"/>
      <c r="B17" s="24"/>
      <c r="C17" s="27"/>
      <c r="D17" s="24"/>
      <c r="E17" s="24"/>
      <c r="F17" s="28"/>
      <c r="G17" s="29"/>
      <c r="H17" s="29"/>
      <c r="I17" s="24"/>
      <c r="J17" s="24"/>
      <c r="K17" s="24"/>
      <c r="L17" s="24"/>
      <c r="M17" s="24"/>
      <c r="N17" s="24"/>
      <c r="O17" s="24"/>
      <c r="P17" s="24"/>
      <c r="Q17" s="24"/>
      <c r="R17" s="56"/>
      <c r="S17" s="24"/>
      <c r="T17" s="24"/>
      <c r="U17" s="24"/>
      <c r="V17" s="24"/>
      <c r="W17" s="24"/>
      <c r="X17" s="24"/>
      <c r="Y17" s="24"/>
    </row>
    <row r="18" spans="1:25" s="24" customFormat="1" x14ac:dyDescent="0.25">
      <c r="C18" s="27"/>
      <c r="F18" s="28"/>
      <c r="G18" s="29"/>
      <c r="H18" s="29"/>
    </row>
    <row r="19" spans="1:25" s="24" customFormat="1" ht="15.75" x14ac:dyDescent="0.25">
      <c r="B19" s="30" t="s">
        <v>105</v>
      </c>
      <c r="C19" s="31" t="s">
        <v>48</v>
      </c>
      <c r="D19" s="31" t="s">
        <v>49</v>
      </c>
      <c r="E19" s="31" t="s">
        <v>77</v>
      </c>
      <c r="F19" s="26" t="s">
        <v>104</v>
      </c>
      <c r="G19" s="29"/>
      <c r="H19" s="29"/>
    </row>
    <row r="20" spans="1:25" s="24" customFormat="1" x14ac:dyDescent="0.25">
      <c r="B20" s="26" t="s">
        <v>75</v>
      </c>
      <c r="C20" s="32">
        <f>D69</f>
        <v>9700</v>
      </c>
      <c r="D20" s="32">
        <f>E69</f>
        <v>215300</v>
      </c>
      <c r="E20" s="33">
        <f>SUM(C20:D20)</f>
        <v>225000</v>
      </c>
      <c r="F20" s="26"/>
      <c r="G20" s="29"/>
      <c r="H20" s="29"/>
    </row>
    <row r="21" spans="1:25" s="24" customFormat="1" x14ac:dyDescent="0.25">
      <c r="B21" s="26" t="s">
        <v>102</v>
      </c>
      <c r="C21" s="32">
        <f>D70</f>
        <v>0</v>
      </c>
      <c r="D21" s="32">
        <f>E70</f>
        <v>25000</v>
      </c>
      <c r="E21" s="33">
        <f t="shared" ref="E21:E22" si="6">SUM(C21:D21)</f>
        <v>25000</v>
      </c>
      <c r="F21" s="26"/>
      <c r="G21" s="29"/>
      <c r="H21" s="29"/>
    </row>
    <row r="22" spans="1:25" s="24" customFormat="1" x14ac:dyDescent="0.25">
      <c r="B22" s="34" t="s">
        <v>103</v>
      </c>
      <c r="C22" s="35">
        <f>SUM(C20:C21)</f>
        <v>9700</v>
      </c>
      <c r="D22" s="35">
        <f>SUM(D20:D21)</f>
        <v>240300</v>
      </c>
      <c r="E22" s="36">
        <f t="shared" si="6"/>
        <v>250000</v>
      </c>
      <c r="F22" s="33">
        <f>G66</f>
        <v>0</v>
      </c>
      <c r="G22" s="29"/>
      <c r="H22" s="29"/>
    </row>
    <row r="23" spans="1:25" s="24" customFormat="1" x14ac:dyDescent="0.25">
      <c r="B23" s="34" t="s">
        <v>111</v>
      </c>
      <c r="C23" s="37">
        <f>C22/D62</f>
        <v>4.2819935549375356E-3</v>
      </c>
      <c r="D23" s="37">
        <f>D22/E62</f>
        <v>0.10753121224325413</v>
      </c>
      <c r="E23" s="38">
        <f>E22/H16</f>
        <v>5.5555555555555552E-2</v>
      </c>
      <c r="F23" s="29"/>
      <c r="G23" s="29"/>
      <c r="H23" s="29"/>
    </row>
    <row r="24" spans="1:25" s="24" customFormat="1" x14ac:dyDescent="0.25">
      <c r="B24" s="34" t="s">
        <v>112</v>
      </c>
      <c r="C24" s="37">
        <f>C22/E22</f>
        <v>3.8800000000000001E-2</v>
      </c>
      <c r="D24" s="37">
        <f>D22/E22</f>
        <v>0.96120000000000005</v>
      </c>
      <c r="E24" s="39">
        <f>C24+D24</f>
        <v>1</v>
      </c>
      <c r="F24" s="29"/>
      <c r="G24" s="29"/>
      <c r="H24" s="29"/>
    </row>
    <row r="25" spans="1:25" s="24" customFormat="1" x14ac:dyDescent="0.25">
      <c r="C25" s="27"/>
      <c r="F25" s="28"/>
      <c r="G25" s="29"/>
      <c r="H25" s="29"/>
    </row>
    <row r="26" spans="1:25" s="24" customFormat="1" x14ac:dyDescent="0.25">
      <c r="C26" s="27"/>
      <c r="F26" s="28"/>
      <c r="G26" s="29"/>
      <c r="H26" s="29"/>
    </row>
    <row r="27" spans="1:25" s="24" customFormat="1" ht="15.75" x14ac:dyDescent="0.25">
      <c r="B27" s="30" t="s">
        <v>106</v>
      </c>
      <c r="C27" s="31" t="s">
        <v>48</v>
      </c>
      <c r="D27" s="31" t="s">
        <v>48</v>
      </c>
      <c r="E27" s="31" t="s">
        <v>77</v>
      </c>
      <c r="F27" s="26" t="s">
        <v>104</v>
      </c>
      <c r="G27" s="29"/>
      <c r="H27" s="29"/>
    </row>
    <row r="28" spans="1:25" s="24" customFormat="1" x14ac:dyDescent="0.25">
      <c r="B28" s="26" t="s">
        <v>75</v>
      </c>
      <c r="C28" s="32">
        <f>D74</f>
        <v>4773.2083333333339</v>
      </c>
      <c r="D28" s="32">
        <f>E74</f>
        <v>42665.283333333326</v>
      </c>
      <c r="E28" s="33">
        <f>SUM(C28:D28)</f>
        <v>47438.491666666661</v>
      </c>
      <c r="F28" s="26"/>
      <c r="G28" s="29"/>
      <c r="H28" s="29"/>
    </row>
    <row r="29" spans="1:25" s="24" customFormat="1" x14ac:dyDescent="0.25">
      <c r="B29" s="26" t="s">
        <v>102</v>
      </c>
      <c r="C29" s="32">
        <f>D75</f>
        <v>0</v>
      </c>
      <c r="D29" s="32">
        <f>E75</f>
        <v>9908.3333333333321</v>
      </c>
      <c r="E29" s="33">
        <f t="shared" ref="E29:E30" si="7">SUM(C29:D29)</f>
        <v>9908.3333333333321</v>
      </c>
      <c r="F29" s="26"/>
      <c r="G29" s="29"/>
      <c r="H29" s="29"/>
    </row>
    <row r="30" spans="1:25" s="24" customFormat="1" x14ac:dyDescent="0.25">
      <c r="B30" s="34" t="s">
        <v>103</v>
      </c>
      <c r="C30" s="35">
        <f>SUM(C28:C29)</f>
        <v>4773.2083333333339</v>
      </c>
      <c r="D30" s="35">
        <f>SUM(D28:D29)</f>
        <v>52573.616666666654</v>
      </c>
      <c r="E30" s="36">
        <f t="shared" si="7"/>
        <v>57346.82499999999</v>
      </c>
      <c r="F30" s="33">
        <f>F77</f>
        <v>0</v>
      </c>
      <c r="G30" s="29"/>
      <c r="H30" s="29"/>
    </row>
    <row r="31" spans="1:25" s="24" customFormat="1" x14ac:dyDescent="0.25">
      <c r="B31" s="26" t="s">
        <v>107</v>
      </c>
      <c r="C31" s="35">
        <f>E30+F30</f>
        <v>57346.82499999999</v>
      </c>
      <c r="F31" s="28"/>
      <c r="G31" s="29"/>
      <c r="H31" s="29"/>
    </row>
    <row r="32" spans="1:25" s="24" customFormat="1" x14ac:dyDescent="0.25">
      <c r="B32" s="26" t="s">
        <v>109</v>
      </c>
      <c r="C32" s="40">
        <f>C31/E22</f>
        <v>0.22938729999999996</v>
      </c>
      <c r="D32" s="41">
        <f>C32/C16</f>
        <v>0.11610153386326824</v>
      </c>
      <c r="F32" s="28"/>
      <c r="G32" s="29"/>
      <c r="H32" s="29"/>
    </row>
    <row r="33" spans="1:18" s="24" customFormat="1" x14ac:dyDescent="0.25">
      <c r="B33" s="26" t="s">
        <v>110</v>
      </c>
      <c r="C33" s="40">
        <f>C31/G16</f>
        <v>1.2073015789473682E-2</v>
      </c>
      <c r="D33" s="42">
        <f>C33/C16</f>
        <v>6.1106070454351701E-3</v>
      </c>
    </row>
    <row r="34" spans="1:18" s="24" customFormat="1" x14ac:dyDescent="0.25">
      <c r="C34" s="27"/>
    </row>
    <row r="35" spans="1:18" s="24" customFormat="1" x14ac:dyDescent="0.25">
      <c r="B35" s="30" t="s">
        <v>113</v>
      </c>
      <c r="C35" s="43" t="s">
        <v>56</v>
      </c>
      <c r="D35" s="44" t="s">
        <v>88</v>
      </c>
    </row>
    <row r="36" spans="1:18" s="24" customFormat="1" x14ac:dyDescent="0.25">
      <c r="B36" s="26" t="s">
        <v>115</v>
      </c>
      <c r="C36" s="35">
        <f>C92</f>
        <v>0</v>
      </c>
      <c r="D36" s="45">
        <f>C36*$D$89</f>
        <v>0</v>
      </c>
    </row>
    <row r="37" spans="1:18" s="24" customFormat="1" x14ac:dyDescent="0.25">
      <c r="B37" s="26" t="s">
        <v>116</v>
      </c>
      <c r="C37" s="35">
        <f>C91</f>
        <v>0</v>
      </c>
      <c r="D37" s="45">
        <f>C37*$D$89</f>
        <v>0</v>
      </c>
    </row>
    <row r="38" spans="1:18" s="24" customFormat="1" x14ac:dyDescent="0.25">
      <c r="B38" s="26" t="s">
        <v>114</v>
      </c>
      <c r="C38" s="27"/>
      <c r="D38" s="46">
        <f>E30+D37-D36</f>
        <v>57346.82499999999</v>
      </c>
    </row>
    <row r="39" spans="1:18" s="24" customFormat="1" x14ac:dyDescent="0.25">
      <c r="C39" s="27"/>
    </row>
    <row r="40" spans="1:18" s="21" customFormat="1" x14ac:dyDescent="0.25">
      <c r="A40" s="24"/>
      <c r="B40" s="24"/>
      <c r="C40" s="2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3" customFormat="1" x14ac:dyDescent="0.25">
      <c r="A41" s="75"/>
      <c r="B41" s="75"/>
      <c r="C41" s="75"/>
      <c r="D41" s="75"/>
      <c r="E41" s="76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s="3" customForma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ht="30" x14ac:dyDescent="0.25">
      <c r="A43" s="24"/>
      <c r="B43" s="4" t="s">
        <v>29</v>
      </c>
      <c r="C43" s="5" t="s">
        <v>30</v>
      </c>
      <c r="D43" s="26"/>
      <c r="E43" s="26" t="s">
        <v>31</v>
      </c>
      <c r="F43" s="26" t="s">
        <v>32</v>
      </c>
      <c r="G43" s="26" t="s">
        <v>33</v>
      </c>
      <c r="H43" s="77" t="s">
        <v>34</v>
      </c>
      <c r="I43" s="24"/>
      <c r="J43" s="24"/>
      <c r="K43" s="78"/>
      <c r="L43" s="78"/>
      <c r="M43" s="24"/>
      <c r="N43" s="24"/>
      <c r="O43" s="24"/>
      <c r="P43" s="24"/>
      <c r="Q43" s="24"/>
      <c r="R43" s="24"/>
    </row>
    <row r="44" spans="1:18" x14ac:dyDescent="0.25">
      <c r="A44" s="79"/>
      <c r="B44" s="6">
        <v>9.43</v>
      </c>
      <c r="C44" s="7">
        <v>8.4600000000000009</v>
      </c>
      <c r="D44" s="80" t="s">
        <v>35</v>
      </c>
      <c r="E44" s="45">
        <f t="shared" ref="E44:E55" si="8">IF($C$6=1,C44,B44)</f>
        <v>8.4600000000000009</v>
      </c>
      <c r="F44" s="47">
        <f t="shared" ref="F44:F55" si="9">$C$8*E44/100</f>
        <v>380700.00000000006</v>
      </c>
      <c r="G44" s="47">
        <f>G4</f>
        <v>350000</v>
      </c>
      <c r="H44" s="8">
        <f>C12</f>
        <v>1.96</v>
      </c>
      <c r="I44" s="24"/>
      <c r="J44" s="24"/>
      <c r="K44" s="81"/>
      <c r="L44" s="78"/>
      <c r="M44" s="24"/>
      <c r="N44" s="24"/>
      <c r="O44" s="24"/>
      <c r="P44" s="24"/>
      <c r="Q44" s="24"/>
      <c r="R44" s="24"/>
    </row>
    <row r="45" spans="1:18" x14ac:dyDescent="0.25">
      <c r="A45" s="79"/>
      <c r="B45" s="6">
        <v>8.86</v>
      </c>
      <c r="C45" s="7">
        <v>7.73</v>
      </c>
      <c r="D45" s="80" t="s">
        <v>36</v>
      </c>
      <c r="E45" s="45">
        <f t="shared" si="8"/>
        <v>7.73</v>
      </c>
      <c r="F45" s="47">
        <f t="shared" si="9"/>
        <v>347850</v>
      </c>
      <c r="G45" s="47">
        <f t="shared" ref="G45:G55" si="10">G5</f>
        <v>350000</v>
      </c>
      <c r="H45" s="9">
        <f>H44</f>
        <v>1.96</v>
      </c>
      <c r="I45" s="24"/>
      <c r="J45" s="24"/>
      <c r="K45" s="81"/>
      <c r="L45" s="78"/>
      <c r="M45" s="24"/>
      <c r="N45" s="24"/>
      <c r="O45" s="24"/>
      <c r="P45" s="24"/>
      <c r="Q45" s="24"/>
      <c r="R45" s="24"/>
    </row>
    <row r="46" spans="1:18" x14ac:dyDescent="0.25">
      <c r="A46" s="79"/>
      <c r="B46" s="6">
        <v>10</v>
      </c>
      <c r="C46" s="7">
        <v>8.8699999999999992</v>
      </c>
      <c r="D46" s="80" t="s">
        <v>37</v>
      </c>
      <c r="E46" s="45">
        <f t="shared" si="8"/>
        <v>8.8699999999999992</v>
      </c>
      <c r="F46" s="47">
        <f t="shared" si="9"/>
        <v>399150</v>
      </c>
      <c r="G46" s="47">
        <f t="shared" si="10"/>
        <v>420000</v>
      </c>
      <c r="H46" s="9">
        <f>H45</f>
        <v>1.96</v>
      </c>
      <c r="I46" s="24"/>
      <c r="J46" s="24"/>
      <c r="K46" s="81"/>
      <c r="L46" s="78"/>
      <c r="M46" s="24"/>
      <c r="N46" s="24"/>
      <c r="O46" s="24"/>
      <c r="P46" s="24"/>
      <c r="Q46" s="24"/>
      <c r="R46" s="24"/>
    </row>
    <row r="47" spans="1:18" x14ac:dyDescent="0.25">
      <c r="A47" s="79"/>
      <c r="B47" s="6">
        <v>9.39</v>
      </c>
      <c r="C47" s="7">
        <v>8.68</v>
      </c>
      <c r="D47" s="80" t="s">
        <v>38</v>
      </c>
      <c r="E47" s="45">
        <f t="shared" si="8"/>
        <v>8.68</v>
      </c>
      <c r="F47" s="47">
        <f t="shared" si="9"/>
        <v>390600</v>
      </c>
      <c r="G47" s="47">
        <f t="shared" si="10"/>
        <v>435000</v>
      </c>
      <c r="H47" s="10">
        <f>C13</f>
        <v>1.99</v>
      </c>
      <c r="I47" s="24"/>
      <c r="J47" s="24"/>
      <c r="K47" s="82"/>
      <c r="L47" s="78"/>
      <c r="M47" s="24"/>
      <c r="N47" s="24"/>
      <c r="O47" s="24"/>
      <c r="P47" s="24"/>
      <c r="Q47" s="24"/>
      <c r="R47" s="24"/>
    </row>
    <row r="48" spans="1:18" x14ac:dyDescent="0.25">
      <c r="A48" s="79"/>
      <c r="B48" s="6">
        <v>9.2100000000000009</v>
      </c>
      <c r="C48" s="7">
        <v>9.07</v>
      </c>
      <c r="D48" s="83" t="s">
        <v>39</v>
      </c>
      <c r="E48" s="84">
        <f t="shared" si="8"/>
        <v>9.07</v>
      </c>
      <c r="F48" s="49">
        <f t="shared" si="9"/>
        <v>408150</v>
      </c>
      <c r="G48" s="49">
        <f t="shared" si="10"/>
        <v>460000</v>
      </c>
      <c r="H48" s="11">
        <f t="shared" ref="H48:H55" si="11">H47</f>
        <v>1.99</v>
      </c>
      <c r="I48" s="24"/>
      <c r="J48" s="24"/>
      <c r="K48" s="85"/>
      <c r="L48" s="78"/>
      <c r="M48" s="24"/>
      <c r="N48" s="24"/>
      <c r="O48" s="24"/>
      <c r="P48" s="24"/>
      <c r="Q48" s="24"/>
      <c r="R48" s="24"/>
    </row>
    <row r="49" spans="1:18" x14ac:dyDescent="0.25">
      <c r="A49" s="79"/>
      <c r="B49" s="6">
        <v>8.3699999999999992</v>
      </c>
      <c r="C49" s="7">
        <v>8.48</v>
      </c>
      <c r="D49" s="83" t="s">
        <v>40</v>
      </c>
      <c r="E49" s="84">
        <f t="shared" si="8"/>
        <v>8.48</v>
      </c>
      <c r="F49" s="49">
        <f t="shared" si="9"/>
        <v>381600</v>
      </c>
      <c r="G49" s="49">
        <f t="shared" si="10"/>
        <v>435000</v>
      </c>
      <c r="H49" s="11">
        <f t="shared" si="11"/>
        <v>1.99</v>
      </c>
      <c r="I49" s="24"/>
      <c r="J49" s="24"/>
      <c r="K49" s="81"/>
      <c r="L49" s="78"/>
      <c r="M49" s="24"/>
      <c r="N49" s="24"/>
      <c r="O49" s="24"/>
      <c r="P49" s="24"/>
      <c r="Q49" s="24"/>
      <c r="R49" s="24"/>
    </row>
    <row r="50" spans="1:18" x14ac:dyDescent="0.25">
      <c r="A50" s="79"/>
      <c r="B50" s="6">
        <v>7.96</v>
      </c>
      <c r="C50" s="7">
        <v>8.3699999999999992</v>
      </c>
      <c r="D50" s="83" t="s">
        <v>41</v>
      </c>
      <c r="E50" s="84">
        <f t="shared" si="8"/>
        <v>8.3699999999999992</v>
      </c>
      <c r="F50" s="49">
        <f t="shared" si="9"/>
        <v>376650</v>
      </c>
      <c r="G50" s="49">
        <f t="shared" si="10"/>
        <v>410000</v>
      </c>
      <c r="H50" s="12">
        <f>C14</f>
        <v>1.98</v>
      </c>
      <c r="I50" s="24"/>
      <c r="J50" s="24"/>
      <c r="K50" s="81"/>
      <c r="L50" s="78"/>
      <c r="M50" s="24"/>
      <c r="N50" s="24"/>
      <c r="O50" s="24"/>
      <c r="P50" s="24"/>
      <c r="Q50" s="24"/>
      <c r="R50" s="24"/>
    </row>
    <row r="51" spans="1:18" x14ac:dyDescent="0.25">
      <c r="A51" s="79"/>
      <c r="B51" s="6">
        <v>6.77</v>
      </c>
      <c r="C51" s="7">
        <v>8.0299999999999994</v>
      </c>
      <c r="D51" s="83" t="s">
        <v>42</v>
      </c>
      <c r="E51" s="84">
        <f t="shared" si="8"/>
        <v>8.0299999999999994</v>
      </c>
      <c r="F51" s="49">
        <f t="shared" si="9"/>
        <v>361350</v>
      </c>
      <c r="G51" s="49">
        <f t="shared" si="10"/>
        <v>400000</v>
      </c>
      <c r="H51" s="11">
        <f t="shared" si="11"/>
        <v>1.98</v>
      </c>
      <c r="I51" s="24"/>
      <c r="J51" s="24"/>
      <c r="K51" s="81"/>
      <c r="L51" s="78"/>
      <c r="M51" s="24"/>
      <c r="N51" s="24"/>
      <c r="O51" s="24"/>
      <c r="P51" s="24"/>
      <c r="Q51" s="24"/>
      <c r="R51" s="24"/>
    </row>
    <row r="52" spans="1:18" x14ac:dyDescent="0.25">
      <c r="A52" s="79"/>
      <c r="B52" s="6">
        <v>5.95</v>
      </c>
      <c r="C52" s="7">
        <v>7.66</v>
      </c>
      <c r="D52" s="83" t="s">
        <v>43</v>
      </c>
      <c r="E52" s="84">
        <f t="shared" si="8"/>
        <v>7.66</v>
      </c>
      <c r="F52" s="49">
        <f t="shared" si="9"/>
        <v>344700</v>
      </c>
      <c r="G52" s="49">
        <f t="shared" si="10"/>
        <v>380000</v>
      </c>
      <c r="H52" s="11">
        <f t="shared" si="11"/>
        <v>1.98</v>
      </c>
      <c r="I52" s="24"/>
      <c r="J52" s="24"/>
      <c r="K52" s="81"/>
      <c r="L52" s="78"/>
      <c r="M52" s="24"/>
      <c r="N52" s="24"/>
      <c r="O52" s="24"/>
      <c r="P52" s="24"/>
      <c r="Q52" s="24"/>
      <c r="R52" s="24"/>
    </row>
    <row r="53" spans="1:18" x14ac:dyDescent="0.25">
      <c r="A53" s="79"/>
      <c r="B53" s="6">
        <v>6.87</v>
      </c>
      <c r="C53" s="7">
        <v>8.0500000000000007</v>
      </c>
      <c r="D53" s="83" t="s">
        <v>44</v>
      </c>
      <c r="E53" s="84">
        <f t="shared" si="8"/>
        <v>8.0500000000000007</v>
      </c>
      <c r="F53" s="49">
        <f t="shared" si="9"/>
        <v>362250</v>
      </c>
      <c r="G53" s="49">
        <f t="shared" si="10"/>
        <v>390000</v>
      </c>
      <c r="H53" s="12">
        <f>C15</f>
        <v>1.97</v>
      </c>
      <c r="I53" s="24"/>
      <c r="J53" s="24"/>
      <c r="K53" s="86"/>
      <c r="L53" s="78"/>
      <c r="M53" s="24"/>
      <c r="N53" s="24"/>
      <c r="O53" s="24"/>
      <c r="P53" s="24"/>
      <c r="Q53" s="24"/>
      <c r="R53" s="24"/>
    </row>
    <row r="54" spans="1:18" x14ac:dyDescent="0.25">
      <c r="A54" s="79"/>
      <c r="B54" s="6">
        <v>7.9</v>
      </c>
      <c r="C54" s="7">
        <v>8</v>
      </c>
      <c r="D54" s="87" t="s">
        <v>45</v>
      </c>
      <c r="E54" s="88">
        <f t="shared" si="8"/>
        <v>8</v>
      </c>
      <c r="F54" s="52">
        <f t="shared" si="9"/>
        <v>360000</v>
      </c>
      <c r="G54" s="52">
        <f t="shared" si="10"/>
        <v>360000</v>
      </c>
      <c r="H54" s="13">
        <f t="shared" si="11"/>
        <v>1.97</v>
      </c>
      <c r="I54" s="24"/>
      <c r="J54" s="24"/>
      <c r="K54" s="81"/>
      <c r="L54" s="78"/>
      <c r="M54" s="24"/>
      <c r="N54" s="24"/>
      <c r="O54" s="24"/>
      <c r="P54" s="24"/>
      <c r="Q54" s="24"/>
      <c r="R54" s="24"/>
    </row>
    <row r="55" spans="1:18" x14ac:dyDescent="0.25">
      <c r="A55" s="24"/>
      <c r="B55" s="6">
        <v>9.2899999999999991</v>
      </c>
      <c r="C55" s="7">
        <v>8.6</v>
      </c>
      <c r="D55" s="87" t="s">
        <v>46</v>
      </c>
      <c r="E55" s="88">
        <f t="shared" si="8"/>
        <v>8.6</v>
      </c>
      <c r="F55" s="52">
        <f t="shared" si="9"/>
        <v>387000</v>
      </c>
      <c r="G55" s="52">
        <f t="shared" si="10"/>
        <v>360000</v>
      </c>
      <c r="H55" s="13">
        <f t="shared" si="11"/>
        <v>1.97</v>
      </c>
      <c r="I55" s="24"/>
      <c r="J55" s="89"/>
      <c r="K55" s="90"/>
      <c r="L55" s="78"/>
      <c r="M55" s="24"/>
      <c r="N55" s="24"/>
      <c r="O55" s="24"/>
      <c r="P55" s="24"/>
      <c r="Q55" s="24"/>
      <c r="R55" s="24"/>
    </row>
    <row r="56" spans="1:18" x14ac:dyDescent="0.25">
      <c r="A56" s="24"/>
      <c r="B56" s="24"/>
      <c r="C56" s="24"/>
      <c r="D56" s="91" t="s">
        <v>47</v>
      </c>
      <c r="E56" s="46">
        <f>SUM(E44:E55)</f>
        <v>99.999999999999986</v>
      </c>
      <c r="F56" s="92">
        <f>SUM(F44:F55)</f>
        <v>4500000</v>
      </c>
      <c r="G56" s="92">
        <f>SUM(G44:G55)</f>
        <v>4750000</v>
      </c>
      <c r="H56" s="93">
        <f>AVERAGE(H44:H55)</f>
        <v>1.9749999999999996</v>
      </c>
      <c r="I56" s="24"/>
      <c r="J56" s="94"/>
      <c r="K56" s="24"/>
      <c r="L56" s="78"/>
      <c r="M56" s="24"/>
      <c r="N56" s="24"/>
      <c r="O56" s="24"/>
      <c r="P56" s="24"/>
      <c r="Q56" s="24"/>
      <c r="R56" s="24"/>
    </row>
    <row r="57" spans="1:18" x14ac:dyDescent="0.25">
      <c r="A57" s="24"/>
      <c r="B57" s="24"/>
      <c r="C57" s="24"/>
      <c r="D57" s="95"/>
      <c r="E57" s="96"/>
      <c r="F57" s="97"/>
      <c r="G57" s="97"/>
      <c r="H57" s="93">
        <f>SUMPRODUCT(H44:H55,G44:G55)/G56</f>
        <v>1.9757473684210527</v>
      </c>
      <c r="I57" s="24"/>
      <c r="J57" s="94"/>
      <c r="K57" s="24"/>
      <c r="L57" s="78"/>
      <c r="M57" s="24"/>
      <c r="N57" s="24"/>
      <c r="O57" s="24"/>
      <c r="P57" s="24"/>
      <c r="Q57" s="24"/>
      <c r="R57" s="24"/>
    </row>
    <row r="58" spans="1:18" x14ac:dyDescent="0.25">
      <c r="A58" s="24"/>
      <c r="B58" s="24"/>
      <c r="C58" s="24"/>
      <c r="D58" s="95"/>
      <c r="E58" s="96"/>
      <c r="F58" s="97"/>
      <c r="G58" s="97"/>
      <c r="H58" s="98"/>
      <c r="I58" s="24"/>
      <c r="J58" s="94"/>
      <c r="K58" s="24"/>
      <c r="L58" s="78"/>
      <c r="M58" s="24"/>
      <c r="N58" s="24"/>
      <c r="O58" s="24"/>
      <c r="P58" s="24"/>
      <c r="Q58" s="24"/>
      <c r="R58" s="24"/>
    </row>
    <row r="59" spans="1:18" x14ac:dyDescent="0.25">
      <c r="A59" s="79"/>
      <c r="B59" s="24"/>
      <c r="C59" s="24"/>
      <c r="D59" s="95"/>
      <c r="E59" s="96"/>
      <c r="F59" s="97"/>
      <c r="G59" s="97"/>
      <c r="H59" s="97"/>
      <c r="I59" s="98"/>
      <c r="J59" s="99"/>
      <c r="K59" s="78"/>
      <c r="L59" s="78"/>
      <c r="M59" s="24"/>
      <c r="N59" s="24"/>
      <c r="O59" s="24"/>
      <c r="P59" s="24"/>
      <c r="Q59" s="24"/>
      <c r="R59" s="24"/>
    </row>
    <row r="60" spans="1:18" x14ac:dyDescent="0.25">
      <c r="A60" s="79"/>
      <c r="B60" s="24"/>
      <c r="C60" s="26"/>
      <c r="D60" s="91"/>
      <c r="E60" s="46"/>
      <c r="F60" s="100"/>
      <c r="G60" s="101" t="s">
        <v>91</v>
      </c>
      <c r="H60" s="97"/>
      <c r="I60" s="95"/>
      <c r="J60" s="95"/>
      <c r="K60" s="28"/>
      <c r="L60" s="78"/>
      <c r="M60" s="24"/>
      <c r="N60" s="24"/>
      <c r="O60" s="24"/>
      <c r="P60" s="24"/>
      <c r="Q60" s="24"/>
      <c r="R60" s="24"/>
    </row>
    <row r="61" spans="1:18" x14ac:dyDescent="0.25">
      <c r="A61" s="24"/>
      <c r="B61" s="24"/>
      <c r="C61" s="26"/>
      <c r="D61" s="102" t="s">
        <v>48</v>
      </c>
      <c r="E61" s="103" t="s">
        <v>49</v>
      </c>
      <c r="F61" s="104" t="s">
        <v>47</v>
      </c>
      <c r="G61" s="105" t="s">
        <v>50</v>
      </c>
      <c r="H61" s="97"/>
      <c r="I61" s="98"/>
      <c r="J61" s="99"/>
      <c r="K61" s="78"/>
      <c r="L61" s="78"/>
      <c r="M61" s="24"/>
      <c r="N61" s="24"/>
      <c r="O61" s="24"/>
      <c r="P61" s="24"/>
      <c r="Q61" s="24"/>
      <c r="R61" s="24"/>
    </row>
    <row r="62" spans="1:18" x14ac:dyDescent="0.25">
      <c r="A62" s="24"/>
      <c r="B62" s="24"/>
      <c r="C62" s="26" t="s">
        <v>51</v>
      </c>
      <c r="D62" s="33">
        <f>F62-E62</f>
        <v>2265300</v>
      </c>
      <c r="E62" s="47">
        <f>SUM(F48:F53)</f>
        <v>2234700</v>
      </c>
      <c r="F62" s="47">
        <f>F56</f>
        <v>4500000</v>
      </c>
      <c r="G62" s="105">
        <f>SUM(F44:F47)</f>
        <v>1518300</v>
      </c>
      <c r="H62" s="97"/>
      <c r="I62" s="98"/>
      <c r="J62" s="99"/>
      <c r="K62" s="78"/>
      <c r="L62" s="78"/>
      <c r="M62" s="24"/>
      <c r="N62" s="24"/>
      <c r="O62" s="24"/>
      <c r="P62" s="24"/>
      <c r="Q62" s="24"/>
      <c r="R62" s="24"/>
    </row>
    <row r="63" spans="1:18" x14ac:dyDescent="0.25">
      <c r="A63" s="24"/>
      <c r="B63" s="24"/>
      <c r="C63" s="26" t="s">
        <v>52</v>
      </c>
      <c r="D63" s="33">
        <f>F63-E63</f>
        <v>2275000</v>
      </c>
      <c r="E63" s="47">
        <f>SUM(G48:G53)</f>
        <v>2475000</v>
      </c>
      <c r="F63" s="47">
        <f>G56</f>
        <v>4750000</v>
      </c>
      <c r="G63" s="47">
        <f>SUM(G44:G47)</f>
        <v>1555000</v>
      </c>
      <c r="H63" s="97"/>
      <c r="I63" s="98"/>
      <c r="J63" s="99"/>
      <c r="K63" s="78"/>
      <c r="L63" s="78"/>
      <c r="M63" s="24"/>
      <c r="N63" s="24"/>
      <c r="O63" s="24"/>
      <c r="P63" s="24"/>
      <c r="Q63" s="24"/>
      <c r="R63" s="24"/>
    </row>
    <row r="64" spans="1:18" x14ac:dyDescent="0.25">
      <c r="A64" s="24"/>
      <c r="B64" s="24"/>
      <c r="C64" s="26" t="s">
        <v>53</v>
      </c>
      <c r="D64" s="33">
        <f>F64-E64</f>
        <v>9700</v>
      </c>
      <c r="E64" s="47">
        <f>MIN(F64,MAX(E63-E62,0))</f>
        <v>240300</v>
      </c>
      <c r="F64" s="47">
        <f>MAX(F63-F62,0)</f>
        <v>250000</v>
      </c>
      <c r="G64" s="47">
        <f>MAX(G63-G62,0)</f>
        <v>36700</v>
      </c>
      <c r="H64" s="97"/>
      <c r="I64" s="98"/>
      <c r="J64" s="94"/>
      <c r="K64" s="78"/>
      <c r="L64" s="78"/>
      <c r="M64" s="24"/>
      <c r="N64" s="24"/>
      <c r="O64" s="24"/>
      <c r="P64" s="24"/>
      <c r="Q64" s="24"/>
      <c r="R64" s="24"/>
    </row>
    <row r="65" spans="1:18" ht="15.75" thickBot="1" x14ac:dyDescent="0.3">
      <c r="A65" s="24"/>
      <c r="B65" s="24"/>
      <c r="C65" s="30" t="s">
        <v>54</v>
      </c>
      <c r="D65" s="38">
        <f>D64/D62</f>
        <v>4.2819935549375356E-3</v>
      </c>
      <c r="E65" s="38">
        <f t="shared" ref="E65:G65" si="12">E64/E62</f>
        <v>0.10753121224325413</v>
      </c>
      <c r="F65" s="38">
        <f t="shared" si="12"/>
        <v>5.5555555555555552E-2</v>
      </c>
      <c r="G65" s="38">
        <f t="shared" si="12"/>
        <v>2.4171771059737866E-2</v>
      </c>
      <c r="H65" s="97"/>
      <c r="I65" s="98"/>
      <c r="J65" s="94"/>
      <c r="K65" s="78"/>
      <c r="L65" s="78"/>
      <c r="M65" s="24"/>
      <c r="N65" s="24"/>
      <c r="O65" s="24"/>
      <c r="P65" s="24"/>
      <c r="Q65" s="24"/>
      <c r="R65" s="24"/>
    </row>
    <row r="66" spans="1:18" ht="15.75" thickBot="1" x14ac:dyDescent="0.3">
      <c r="A66" s="24"/>
      <c r="B66" s="24"/>
      <c r="C66" s="24"/>
      <c r="D66" s="79"/>
      <c r="E66" s="106"/>
      <c r="F66" s="106"/>
      <c r="G66" s="107">
        <f>MAX(G63-(J82*G62+G62),0)</f>
        <v>0</v>
      </c>
      <c r="H66" s="97"/>
      <c r="I66" s="98"/>
      <c r="J66" s="94"/>
      <c r="K66" s="78"/>
      <c r="L66" s="78"/>
      <c r="M66" s="24"/>
      <c r="N66" s="24"/>
      <c r="O66" s="24"/>
      <c r="P66" s="24"/>
      <c r="Q66" s="24"/>
      <c r="R66" s="24"/>
    </row>
    <row r="67" spans="1:18" x14ac:dyDescent="0.25">
      <c r="A67" s="24"/>
      <c r="B67" s="24"/>
      <c r="C67" s="24" t="s">
        <v>55</v>
      </c>
      <c r="D67" s="108">
        <f>J85</f>
        <v>0.05</v>
      </c>
      <c r="E67" s="109">
        <f>J86</f>
        <v>0.05</v>
      </c>
      <c r="F67" s="110">
        <f>J84</f>
        <v>0.05</v>
      </c>
      <c r="G67" s="24"/>
      <c r="H67" s="97"/>
      <c r="I67" s="98"/>
      <c r="J67" s="94"/>
      <c r="K67" s="78"/>
      <c r="L67" s="78"/>
      <c r="M67" s="24"/>
      <c r="N67" s="24"/>
      <c r="O67" s="24"/>
      <c r="P67" s="24"/>
      <c r="Q67" s="24"/>
      <c r="R67" s="24"/>
    </row>
    <row r="68" spans="1:18" x14ac:dyDescent="0.25">
      <c r="A68" s="24"/>
      <c r="B68" s="24"/>
      <c r="C68" s="111" t="s">
        <v>56</v>
      </c>
      <c r="D68" s="112" t="s">
        <v>57</v>
      </c>
      <c r="E68" s="91" t="s">
        <v>58</v>
      </c>
      <c r="F68" s="113" t="s">
        <v>47</v>
      </c>
      <c r="G68" s="24"/>
      <c r="H68" s="24"/>
      <c r="I68" s="80" t="s">
        <v>59</v>
      </c>
      <c r="J68" s="80" t="s">
        <v>60</v>
      </c>
      <c r="K68" s="80" t="s">
        <v>61</v>
      </c>
      <c r="L68" s="78"/>
      <c r="M68" s="24"/>
      <c r="N68" s="24"/>
      <c r="O68" s="24"/>
      <c r="P68" s="24"/>
      <c r="Q68" s="24"/>
      <c r="R68" s="24"/>
    </row>
    <row r="69" spans="1:18" x14ac:dyDescent="0.25">
      <c r="A69" s="24"/>
      <c r="B69" s="114"/>
      <c r="C69" s="26" t="s">
        <v>62</v>
      </c>
      <c r="D69" s="47">
        <f>F69-E69</f>
        <v>9700</v>
      </c>
      <c r="E69" s="115">
        <f>E71-E70</f>
        <v>215300</v>
      </c>
      <c r="F69" s="92">
        <f>MIN(F71,F67*F62)</f>
        <v>225000</v>
      </c>
      <c r="G69" s="97"/>
      <c r="H69" s="24"/>
      <c r="I69" s="26" t="s">
        <v>48</v>
      </c>
      <c r="J69" s="116">
        <v>0.75</v>
      </c>
      <c r="K69" s="116">
        <v>0.4</v>
      </c>
      <c r="L69" s="78"/>
      <c r="M69" s="24"/>
      <c r="N69" s="24"/>
      <c r="O69" s="24"/>
      <c r="P69" s="24"/>
      <c r="Q69" s="24"/>
      <c r="R69" s="24"/>
    </row>
    <row r="70" spans="1:18" x14ac:dyDescent="0.25">
      <c r="A70" s="24"/>
      <c r="B70" s="24"/>
      <c r="C70" s="26" t="s">
        <v>63</v>
      </c>
      <c r="D70" s="47">
        <f>F70-E70</f>
        <v>0</v>
      </c>
      <c r="E70" s="115">
        <f>MIN(F70,MAX(0,E63-(1+E67)*E62))</f>
        <v>25000</v>
      </c>
      <c r="F70" s="92">
        <f>F71-F69</f>
        <v>25000</v>
      </c>
      <c r="G70" s="117"/>
      <c r="H70" s="24"/>
      <c r="I70" s="26" t="s">
        <v>49</v>
      </c>
      <c r="J70" s="116">
        <v>0.9</v>
      </c>
      <c r="K70" s="118">
        <v>0.8</v>
      </c>
      <c r="L70" s="78"/>
      <c r="M70" s="24"/>
      <c r="N70" s="24"/>
      <c r="O70" s="24"/>
      <c r="P70" s="24"/>
      <c r="Q70" s="24"/>
      <c r="R70" s="24"/>
    </row>
    <row r="71" spans="1:18" x14ac:dyDescent="0.25">
      <c r="A71" s="24"/>
      <c r="B71" s="79"/>
      <c r="C71" s="111" t="s">
        <v>47</v>
      </c>
      <c r="D71" s="36">
        <f>F71-E71</f>
        <v>9700</v>
      </c>
      <c r="E71" s="36">
        <f>E64</f>
        <v>240300</v>
      </c>
      <c r="F71" s="36">
        <f>F64</f>
        <v>250000</v>
      </c>
      <c r="G71" s="24"/>
      <c r="H71" s="24"/>
      <c r="I71" s="97"/>
      <c r="J71" s="98"/>
      <c r="K71" s="94"/>
      <c r="L71" s="78"/>
      <c r="M71" s="24"/>
      <c r="N71" s="24"/>
      <c r="O71" s="24"/>
      <c r="P71" s="24"/>
      <c r="Q71" s="24"/>
      <c r="R71" s="24"/>
    </row>
    <row r="72" spans="1:18" x14ac:dyDescent="0.25">
      <c r="A72" s="24"/>
      <c r="B72" s="79"/>
      <c r="C72" s="24"/>
      <c r="D72" s="24"/>
      <c r="E72" s="24"/>
      <c r="F72" s="24"/>
      <c r="G72" s="114"/>
      <c r="H72" s="24"/>
      <c r="I72" s="80" t="s">
        <v>64</v>
      </c>
      <c r="J72" s="80" t="s">
        <v>60</v>
      </c>
      <c r="K72" s="80" t="s">
        <v>61</v>
      </c>
      <c r="L72" s="102" t="s">
        <v>10</v>
      </c>
      <c r="M72" s="24"/>
      <c r="N72" s="24"/>
      <c r="O72" s="24"/>
      <c r="P72" s="24"/>
      <c r="Q72" s="24"/>
      <c r="R72" s="24"/>
    </row>
    <row r="73" spans="1:18" x14ac:dyDescent="0.25">
      <c r="A73" s="24"/>
      <c r="B73" s="24"/>
      <c r="C73" s="91" t="s">
        <v>65</v>
      </c>
      <c r="D73" s="80" t="s">
        <v>48</v>
      </c>
      <c r="E73" s="80" t="s">
        <v>49</v>
      </c>
      <c r="F73" s="119" t="s">
        <v>47</v>
      </c>
      <c r="G73" s="120"/>
      <c r="H73" s="24"/>
      <c r="I73" s="26" t="s">
        <v>48</v>
      </c>
      <c r="J73" s="121">
        <f>1-J69</f>
        <v>0.25</v>
      </c>
      <c r="K73" s="121">
        <f>1-K69</f>
        <v>0.6</v>
      </c>
      <c r="L73" s="122">
        <f>(H44+H45+H46+H47+H54+H55)/6</f>
        <v>1.9683333333333335</v>
      </c>
      <c r="M73" s="24"/>
      <c r="N73" s="24"/>
      <c r="O73" s="24"/>
      <c r="P73" s="24"/>
      <c r="Q73" s="24"/>
      <c r="R73" s="24"/>
    </row>
    <row r="74" spans="1:18" x14ac:dyDescent="0.25">
      <c r="A74" s="24"/>
      <c r="B74" s="24"/>
      <c r="C74" s="26" t="s">
        <v>66</v>
      </c>
      <c r="D74" s="47">
        <f>D69*J78</f>
        <v>4773.2083333333339</v>
      </c>
      <c r="E74" s="47">
        <f>E69*J79</f>
        <v>42665.283333333326</v>
      </c>
      <c r="F74" s="123">
        <f>D74+E74</f>
        <v>47438.491666666661</v>
      </c>
      <c r="G74" s="97"/>
      <c r="H74" s="24"/>
      <c r="I74" s="26" t="s">
        <v>49</v>
      </c>
      <c r="J74" s="121">
        <f>1-J70</f>
        <v>9.9999999999999978E-2</v>
      </c>
      <c r="K74" s="121">
        <f>1-K70</f>
        <v>0.19999999999999996</v>
      </c>
      <c r="L74" s="124">
        <f>AVERAGE(H48:H53)</f>
        <v>1.9816666666666667</v>
      </c>
      <c r="M74" s="24"/>
      <c r="N74" s="24"/>
      <c r="O74" s="24"/>
      <c r="P74" s="24"/>
      <c r="Q74" s="24"/>
      <c r="R74" s="24"/>
    </row>
    <row r="75" spans="1:18" x14ac:dyDescent="0.25">
      <c r="A75" s="24"/>
      <c r="B75" s="24"/>
      <c r="C75" s="26" t="s">
        <v>67</v>
      </c>
      <c r="D75" s="47">
        <f>D70*K78</f>
        <v>0</v>
      </c>
      <c r="E75" s="47">
        <f>E70*K79</f>
        <v>9908.3333333333321</v>
      </c>
      <c r="F75" s="123">
        <f t="shared" ref="F75:F76" si="13">D75+E75</f>
        <v>9908.3333333333321</v>
      </c>
      <c r="G75" s="97"/>
      <c r="H75" s="24"/>
      <c r="I75" s="97"/>
      <c r="J75" s="98"/>
      <c r="K75" s="94"/>
      <c r="L75" s="124">
        <f>H57</f>
        <v>1.9757473684210527</v>
      </c>
      <c r="M75" s="24"/>
      <c r="N75" s="24"/>
      <c r="O75" s="24"/>
      <c r="P75" s="24"/>
      <c r="Q75" s="24"/>
      <c r="R75" s="24"/>
    </row>
    <row r="76" spans="1:18" x14ac:dyDescent="0.25">
      <c r="A76" s="24"/>
      <c r="B76" s="24"/>
      <c r="C76" s="125" t="s">
        <v>68</v>
      </c>
      <c r="D76" s="113">
        <f>SUM(D74:D75)</f>
        <v>4773.2083333333339</v>
      </c>
      <c r="E76" s="113">
        <f>SUM(E74:E75)</f>
        <v>52573.616666666654</v>
      </c>
      <c r="F76" s="123">
        <f t="shared" si="13"/>
        <v>57346.82499999999</v>
      </c>
      <c r="G76" s="97"/>
      <c r="H76" s="24"/>
      <c r="I76" s="24"/>
      <c r="J76" s="24"/>
      <c r="K76" s="24"/>
      <c r="L76" s="78"/>
      <c r="M76" s="24"/>
      <c r="N76" s="24"/>
      <c r="O76" s="24"/>
      <c r="P76" s="24"/>
      <c r="Q76" s="24"/>
      <c r="R76" s="24"/>
    </row>
    <row r="77" spans="1:18" x14ac:dyDescent="0.25">
      <c r="A77" s="24"/>
      <c r="B77" s="24"/>
      <c r="C77" s="126" t="s">
        <v>69</v>
      </c>
      <c r="D77" s="91"/>
      <c r="E77" s="46"/>
      <c r="F77" s="127">
        <f>G66*J80</f>
        <v>0</v>
      </c>
      <c r="G77" s="97"/>
      <c r="H77" s="24"/>
      <c r="I77" s="80" t="s">
        <v>70</v>
      </c>
      <c r="J77" s="80" t="s">
        <v>60</v>
      </c>
      <c r="K77" s="80" t="s">
        <v>61</v>
      </c>
      <c r="L77" s="78"/>
      <c r="M77" s="24"/>
      <c r="N77" s="24"/>
      <c r="O77" s="24"/>
      <c r="P77" s="24"/>
      <c r="Q77" s="24"/>
      <c r="R77" s="24"/>
    </row>
    <row r="78" spans="1:18" x14ac:dyDescent="0.25">
      <c r="A78" s="28"/>
      <c r="B78" s="128"/>
      <c r="C78" s="129" t="s">
        <v>71</v>
      </c>
      <c r="D78" s="130"/>
      <c r="E78" s="131"/>
      <c r="F78" s="132">
        <f>F76+F77</f>
        <v>57346.82499999999</v>
      </c>
      <c r="G78" s="97"/>
      <c r="H78" s="24"/>
      <c r="I78" s="26" t="s">
        <v>48</v>
      </c>
      <c r="J78" s="84">
        <f>J73*L73</f>
        <v>0.49208333333333337</v>
      </c>
      <c r="K78" s="84">
        <f>K73*L73</f>
        <v>1.181</v>
      </c>
      <c r="L78" s="78"/>
      <c r="M78" s="24"/>
      <c r="N78" s="24"/>
      <c r="O78" s="24"/>
      <c r="P78" s="24"/>
      <c r="Q78" s="24"/>
      <c r="R78" s="24"/>
    </row>
    <row r="79" spans="1:18" x14ac:dyDescent="0.25">
      <c r="A79" s="133"/>
      <c r="B79" s="133"/>
      <c r="C79" s="134" t="s">
        <v>72</v>
      </c>
      <c r="D79" s="102"/>
      <c r="E79" s="135"/>
      <c r="F79" s="45">
        <f>F78/F64</f>
        <v>0.22938729999999996</v>
      </c>
      <c r="G79" s="42">
        <f>F79/L75</f>
        <v>0.11610153386326824</v>
      </c>
      <c r="H79" s="97"/>
      <c r="I79" s="26" t="s">
        <v>49</v>
      </c>
      <c r="J79" s="84">
        <f>J74*L74</f>
        <v>0.19816666666666663</v>
      </c>
      <c r="K79" s="84">
        <f>K74*L74</f>
        <v>0.39633333333333326</v>
      </c>
      <c r="L79" s="78"/>
      <c r="M79" s="24"/>
      <c r="N79" s="24"/>
      <c r="O79" s="24"/>
      <c r="P79" s="24"/>
      <c r="Q79" s="24"/>
      <c r="R79" s="24"/>
    </row>
    <row r="80" spans="1:18" x14ac:dyDescent="0.25">
      <c r="A80" s="28"/>
      <c r="B80" s="136"/>
      <c r="C80" s="137" t="s">
        <v>73</v>
      </c>
      <c r="D80" s="80"/>
      <c r="E80" s="135"/>
      <c r="F80" s="45">
        <f>F78/F63</f>
        <v>1.2073015789473682E-2</v>
      </c>
      <c r="G80" s="42">
        <f>F80/L75</f>
        <v>6.1106070454351701E-3</v>
      </c>
      <c r="H80" s="97"/>
      <c r="I80" s="138" t="s">
        <v>69</v>
      </c>
      <c r="J80" s="45">
        <v>0.5</v>
      </c>
      <c r="K80" s="78"/>
      <c r="L80" s="78"/>
      <c r="M80" s="24"/>
      <c r="N80" s="24"/>
      <c r="O80" s="24"/>
      <c r="P80" s="24"/>
      <c r="Q80" s="24"/>
      <c r="R80" s="24"/>
    </row>
    <row r="81" spans="1:18" x14ac:dyDescent="0.25">
      <c r="A81" s="28"/>
      <c r="B81" s="136"/>
      <c r="C81" s="139"/>
      <c r="D81" s="95"/>
      <c r="E81" s="96"/>
      <c r="F81" s="97"/>
      <c r="G81" s="97"/>
      <c r="H81" s="97"/>
      <c r="I81" s="98"/>
      <c r="J81" s="94"/>
      <c r="K81" s="78"/>
      <c r="L81" s="78"/>
      <c r="M81" s="24"/>
      <c r="N81" s="24"/>
      <c r="O81" s="24"/>
      <c r="P81" s="24"/>
      <c r="Q81" s="24"/>
      <c r="R81" s="24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 t="s">
        <v>74</v>
      </c>
      <c r="J82" s="110">
        <v>0.15</v>
      </c>
      <c r="K82" s="24"/>
      <c r="L82" s="24"/>
      <c r="M82" s="24"/>
      <c r="N82" s="24"/>
      <c r="O82" s="24"/>
      <c r="P82" s="24"/>
      <c r="Q82" s="24"/>
      <c r="R82" s="24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140" t="s">
        <v>75</v>
      </c>
      <c r="J83" s="24"/>
      <c r="K83" s="24"/>
      <c r="L83" s="24"/>
      <c r="M83" s="24"/>
      <c r="N83" s="24"/>
      <c r="O83" s="24"/>
      <c r="P83" s="24"/>
      <c r="Q83" s="24"/>
      <c r="R83" s="24"/>
    </row>
    <row r="84" spans="1:18" x14ac:dyDescent="0.25">
      <c r="A84" s="24"/>
      <c r="B84" s="25" t="s">
        <v>76</v>
      </c>
      <c r="C84" s="24"/>
      <c r="D84" s="24"/>
      <c r="E84" s="24"/>
      <c r="F84" s="24"/>
      <c r="G84" s="24"/>
      <c r="H84" s="24"/>
      <c r="I84" s="24" t="s">
        <v>77</v>
      </c>
      <c r="J84" s="55">
        <v>0.05</v>
      </c>
      <c r="K84" s="24"/>
      <c r="L84" s="24"/>
      <c r="M84" s="24"/>
      <c r="N84" s="24"/>
      <c r="O84" s="24"/>
      <c r="P84" s="24"/>
      <c r="Q84" s="24"/>
      <c r="R84" s="24"/>
    </row>
    <row r="85" spans="1:18" x14ac:dyDescent="0.25">
      <c r="A85" s="24"/>
      <c r="B85" s="26"/>
      <c r="C85" s="80" t="s">
        <v>51</v>
      </c>
      <c r="D85" s="80" t="s">
        <v>52</v>
      </c>
      <c r="E85" s="80" t="s">
        <v>78</v>
      </c>
      <c r="F85" s="80" t="s">
        <v>79</v>
      </c>
      <c r="G85" s="24"/>
      <c r="H85" s="24"/>
      <c r="I85" s="24" t="s">
        <v>48</v>
      </c>
      <c r="J85" s="55">
        <f>J84</f>
        <v>0.05</v>
      </c>
      <c r="K85" s="24"/>
      <c r="L85" s="24"/>
      <c r="M85" s="24"/>
      <c r="N85" s="24"/>
      <c r="O85" s="24"/>
      <c r="P85" s="24"/>
      <c r="Q85" s="24"/>
      <c r="R85" s="24"/>
    </row>
    <row r="86" spans="1:18" x14ac:dyDescent="0.25">
      <c r="A86" s="24"/>
      <c r="B86" s="141" t="s">
        <v>80</v>
      </c>
      <c r="C86" s="33">
        <f>SUM(F44:F47)</f>
        <v>1518300</v>
      </c>
      <c r="D86" s="33">
        <f>SUM(G44:G47)</f>
        <v>1555000</v>
      </c>
      <c r="E86" s="33">
        <f>MAX(D86-C86,0)</f>
        <v>36700</v>
      </c>
      <c r="F86" s="33">
        <f>MAX(C86-D86,0)</f>
        <v>0</v>
      </c>
      <c r="G86" s="24"/>
      <c r="H86" s="24"/>
      <c r="I86" s="24" t="s">
        <v>49</v>
      </c>
      <c r="J86" s="55">
        <f>J84</f>
        <v>0.05</v>
      </c>
      <c r="K86" s="24"/>
      <c r="L86" s="24"/>
      <c r="M86" s="24"/>
      <c r="N86" s="24"/>
      <c r="O86" s="24"/>
      <c r="P86" s="24"/>
      <c r="Q86" s="24"/>
      <c r="R86" s="24"/>
    </row>
    <row r="87" spans="1:18" x14ac:dyDescent="0.25">
      <c r="A87" s="24"/>
      <c r="B87" s="26" t="s">
        <v>58</v>
      </c>
      <c r="C87" s="33">
        <f>SUM(F48:F53)</f>
        <v>2234700</v>
      </c>
      <c r="D87" s="33">
        <f>SUM(G48:G53)</f>
        <v>2475000</v>
      </c>
      <c r="E87" s="33">
        <f t="shared" ref="E87" si="14">MAX(D87-C87,0)</f>
        <v>240300</v>
      </c>
      <c r="F87" s="33">
        <f t="shared" ref="F87" si="15">MAX(C87-D87,0)</f>
        <v>0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x14ac:dyDescent="0.25">
      <c r="A88" s="24"/>
      <c r="B88" s="26" t="s">
        <v>81</v>
      </c>
      <c r="C88" s="26"/>
      <c r="D88" s="121">
        <v>0.3</v>
      </c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x14ac:dyDescent="0.25">
      <c r="A89" s="24"/>
      <c r="B89" s="26" t="s">
        <v>82</v>
      </c>
      <c r="C89" s="26"/>
      <c r="D89" s="45">
        <v>0.6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x14ac:dyDescent="0.25">
      <c r="A91" s="24"/>
      <c r="B91" s="26" t="s">
        <v>83</v>
      </c>
      <c r="C91" s="142">
        <f>MIN(E86,F87)</f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x14ac:dyDescent="0.25">
      <c r="A92" s="24"/>
      <c r="B92" s="26" t="s">
        <v>84</v>
      </c>
      <c r="C92" s="47">
        <f>MIN(D88*C86,E87,F86)</f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x14ac:dyDescent="0.25">
      <c r="A93" s="24"/>
      <c r="B93" s="26" t="s">
        <v>85</v>
      </c>
      <c r="C93" s="33">
        <f>C92-C91</f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x14ac:dyDescent="0.25">
      <c r="A94" s="24"/>
      <c r="B94" s="30" t="s">
        <v>86</v>
      </c>
      <c r="C94" s="36">
        <f>D89*C93</f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6" spans="1:18" ht="15.75" thickBot="1" x14ac:dyDescent="0.3"/>
    <row r="97" spans="2:5" x14ac:dyDescent="0.25">
      <c r="B97" s="14" t="s">
        <v>87</v>
      </c>
      <c r="C97" s="15"/>
      <c r="D97" s="16">
        <f>F78-C94</f>
        <v>57346.82499999999</v>
      </c>
      <c r="E97" s="17" t="s">
        <v>88</v>
      </c>
    </row>
    <row r="98" spans="2:5" ht="15.75" thickBot="1" x14ac:dyDescent="0.3">
      <c r="B98" s="18" t="s">
        <v>89</v>
      </c>
      <c r="C98" s="19"/>
      <c r="D98" s="19"/>
      <c r="E98" s="20"/>
    </row>
  </sheetData>
  <sheetProtection password="CCDD" sheet="1" objects="1" scenarios="1" selectLockedCells="1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rightToLeft="1" tabSelected="1" topLeftCell="A26" workbookViewId="0">
      <selection activeCell="A50" sqref="A50"/>
    </sheetView>
  </sheetViews>
  <sheetFormatPr defaultRowHeight="14.25" x14ac:dyDescent="0.2"/>
  <cols>
    <col min="4" max="4" width="15.5" customWidth="1"/>
    <col min="5" max="5" width="10.375" customWidth="1"/>
    <col min="6" max="10" width="12.375" customWidth="1"/>
    <col min="11" max="11" width="13.5" customWidth="1"/>
    <col min="12" max="12" width="9.625" customWidth="1"/>
  </cols>
  <sheetData>
    <row r="1" spans="1:28" x14ac:dyDescent="0.2">
      <c r="A1" s="143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x14ac:dyDescent="0.2">
      <c r="A2" s="143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x14ac:dyDescent="0.2">
      <c r="A3" s="143"/>
      <c r="B3" s="57"/>
      <c r="C3" s="57"/>
      <c r="D3" s="208" t="s">
        <v>126</v>
      </c>
      <c r="E3" s="208"/>
      <c r="F3" s="208"/>
      <c r="G3" s="208"/>
      <c r="H3" s="57"/>
      <c r="I3" s="208" t="s">
        <v>127</v>
      </c>
      <c r="J3" s="208"/>
      <c r="K3" s="208"/>
      <c r="L3" s="208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28.5" x14ac:dyDescent="0.2">
      <c r="A4" s="143"/>
      <c r="B4" s="57"/>
      <c r="C4" s="57"/>
      <c r="D4" s="60"/>
      <c r="E4" s="60" t="s">
        <v>128</v>
      </c>
      <c r="F4" s="60" t="s">
        <v>129</v>
      </c>
      <c r="G4" s="144" t="s">
        <v>130</v>
      </c>
      <c r="H4" s="57"/>
      <c r="I4" s="145"/>
      <c r="J4" s="145"/>
      <c r="K4" s="60" t="s">
        <v>168</v>
      </c>
      <c r="L4" s="146" t="s">
        <v>136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x14ac:dyDescent="0.2">
      <c r="A5" s="143"/>
      <c r="B5" s="57"/>
      <c r="C5" s="57"/>
      <c r="D5" s="60" t="s">
        <v>165</v>
      </c>
      <c r="E5" s="147">
        <v>3.95E-2</v>
      </c>
      <c r="F5" s="147">
        <v>4.0500000000000001E-2</v>
      </c>
      <c r="G5" s="148">
        <v>3.8</v>
      </c>
      <c r="H5" s="57"/>
      <c r="I5" s="149">
        <f>MAX(0,$J$12-E5)</f>
        <v>1.0500000000000002E-2</v>
      </c>
      <c r="J5" s="149">
        <f>I5-I6</f>
        <v>1.0000000000000009E-3</v>
      </c>
      <c r="K5" s="148">
        <f>J5*$J$11</f>
        <v>1760.0000000000016</v>
      </c>
      <c r="L5" s="150">
        <f>K5*G5</f>
        <v>6688.0000000000055</v>
      </c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x14ac:dyDescent="0.2">
      <c r="A6" s="143"/>
      <c r="B6" s="57"/>
      <c r="C6" s="57"/>
      <c r="D6" s="60" t="s">
        <v>166</v>
      </c>
      <c r="E6" s="147">
        <v>4.0500000000000001E-2</v>
      </c>
      <c r="F6" s="147">
        <v>4.1500000000000002E-2</v>
      </c>
      <c r="G6" s="148">
        <v>7.6</v>
      </c>
      <c r="H6" s="57"/>
      <c r="I6" s="149">
        <f>MAX(0,$J$12-E6)</f>
        <v>9.5000000000000015E-3</v>
      </c>
      <c r="J6" s="149">
        <f t="shared" ref="J6" si="0">I6-I7</f>
        <v>1.0000000000000009E-3</v>
      </c>
      <c r="K6" s="148">
        <f>J6*$J$11</f>
        <v>1760.0000000000016</v>
      </c>
      <c r="L6" s="150">
        <f t="shared" ref="L6:L7" si="1">K6*G6</f>
        <v>13376.000000000011</v>
      </c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x14ac:dyDescent="0.2">
      <c r="A7" s="143"/>
      <c r="B7" s="57"/>
      <c r="C7" s="57"/>
      <c r="D7" s="60" t="s">
        <v>167</v>
      </c>
      <c r="E7" s="147">
        <v>4.1500000000000002E-2</v>
      </c>
      <c r="F7" s="60"/>
      <c r="G7" s="148">
        <v>11.399999999999999</v>
      </c>
      <c r="H7" s="57"/>
      <c r="I7" s="149">
        <f>MAX(0,$J$12-E7)</f>
        <v>8.5000000000000006E-3</v>
      </c>
      <c r="J7" s="149">
        <f>I7</f>
        <v>8.5000000000000006E-3</v>
      </c>
      <c r="K7" s="148">
        <f>J7*$J$11</f>
        <v>14960.000000000002</v>
      </c>
      <c r="L7" s="150">
        <f t="shared" si="1"/>
        <v>170544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5" x14ac:dyDescent="0.25">
      <c r="A8" s="143"/>
      <c r="B8" s="57"/>
      <c r="C8" s="57"/>
      <c r="D8" s="151" t="s">
        <v>145</v>
      </c>
      <c r="E8" s="57"/>
      <c r="F8" s="57"/>
      <c r="G8" s="57"/>
      <c r="H8" s="57"/>
      <c r="I8" s="60" t="s">
        <v>137</v>
      </c>
      <c r="J8" s="60"/>
      <c r="K8" s="148">
        <f>SUM(K5:K7)</f>
        <v>18480.000000000004</v>
      </c>
      <c r="L8" s="152">
        <f>SUM(L5:L7)</f>
        <v>190608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" thickBot="1" x14ac:dyDescent="0.25">
      <c r="A9" s="143"/>
      <c r="B9" s="57"/>
      <c r="C9" s="57"/>
      <c r="D9" s="57"/>
      <c r="E9" s="57"/>
      <c r="F9" s="57"/>
      <c r="G9" s="57"/>
      <c r="H9" s="57"/>
      <c r="I9" s="60" t="s">
        <v>138</v>
      </c>
      <c r="J9" s="60"/>
      <c r="K9" s="60"/>
      <c r="L9" s="153">
        <f>L8/J11*100</f>
        <v>10.83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23.25" customHeight="1" x14ac:dyDescent="0.2">
      <c r="A10" s="143"/>
      <c r="B10" s="57"/>
      <c r="C10" s="57"/>
      <c r="D10" s="210" t="s">
        <v>158</v>
      </c>
      <c r="E10" s="211"/>
      <c r="F10" s="211"/>
      <c r="G10" s="212"/>
      <c r="H10" s="57"/>
      <c r="I10" s="60" t="s">
        <v>139</v>
      </c>
      <c r="J10" s="60"/>
      <c r="K10" s="60"/>
      <c r="L10" s="153">
        <f>L8/J13</f>
        <v>2.1659999999999999</v>
      </c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4.25" customHeight="1" x14ac:dyDescent="0.2">
      <c r="A11" s="143"/>
      <c r="B11" s="57"/>
      <c r="C11" s="57"/>
      <c r="D11" s="213"/>
      <c r="E11" s="214"/>
      <c r="F11" s="214"/>
      <c r="G11" s="215"/>
      <c r="H11" s="57"/>
      <c r="I11" s="60" t="s">
        <v>52</v>
      </c>
      <c r="J11" s="243">
        <v>1760000</v>
      </c>
      <c r="K11" s="60"/>
      <c r="L11" s="60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4.25" customHeight="1" x14ac:dyDescent="0.2">
      <c r="A12" s="143"/>
      <c r="B12" s="57"/>
      <c r="C12" s="57"/>
      <c r="D12" s="213"/>
      <c r="E12" s="214"/>
      <c r="F12" s="214"/>
      <c r="G12" s="215"/>
      <c r="H12" s="57"/>
      <c r="I12" s="60" t="s">
        <v>131</v>
      </c>
      <c r="J12" s="244">
        <v>0.05</v>
      </c>
      <c r="K12" s="60"/>
      <c r="L12" s="60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x14ac:dyDescent="0.2">
      <c r="A13" s="143"/>
      <c r="B13" s="57"/>
      <c r="C13" s="57"/>
      <c r="D13" s="213"/>
      <c r="E13" s="214"/>
      <c r="F13" s="214"/>
      <c r="G13" s="215"/>
      <c r="H13" s="57"/>
      <c r="I13" s="60" t="s">
        <v>132</v>
      </c>
      <c r="J13" s="155">
        <f>J11*J12</f>
        <v>88000</v>
      </c>
      <c r="K13" s="60"/>
      <c r="L13" s="60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" thickBot="1" x14ac:dyDescent="0.25">
      <c r="A14" s="143"/>
      <c r="B14" s="57"/>
      <c r="C14" s="57"/>
      <c r="D14" s="216"/>
      <c r="E14" s="217"/>
      <c r="F14" s="217"/>
      <c r="G14" s="218"/>
      <c r="H14" s="57"/>
      <c r="I14" s="156" t="s">
        <v>133</v>
      </c>
      <c r="J14" s="148">
        <f>'חשבון רכיבים'!C11*'תמריץ לשומן גבוה'!K20</f>
        <v>20.828136000000001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x14ac:dyDescent="0.2">
      <c r="A15" s="14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x14ac:dyDescent="0.2">
      <c r="A16" s="143"/>
      <c r="B16" s="57"/>
      <c r="C16" s="57"/>
      <c r="D16" s="57"/>
      <c r="E16" s="57"/>
      <c r="F16" s="57"/>
      <c r="G16" s="57"/>
      <c r="H16" s="57"/>
      <c r="I16" s="57" t="s">
        <v>134</v>
      </c>
      <c r="J16" s="57"/>
      <c r="K16" s="154">
        <f>J13*J14</f>
        <v>1832875.9680000001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x14ac:dyDescent="0.2">
      <c r="A17" s="143"/>
      <c r="B17" s="57"/>
      <c r="C17" s="57"/>
      <c r="D17" s="57"/>
      <c r="E17" s="57"/>
      <c r="F17" s="57"/>
      <c r="G17" s="57"/>
      <c r="H17" s="57"/>
      <c r="I17" s="57" t="s">
        <v>140</v>
      </c>
      <c r="J17" s="57"/>
      <c r="K17" s="157">
        <f>L8</f>
        <v>190608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x14ac:dyDescent="0.2">
      <c r="A18" s="143"/>
      <c r="B18" s="57"/>
      <c r="C18" s="57"/>
      <c r="D18" s="57"/>
      <c r="E18" s="57"/>
      <c r="F18" s="57"/>
      <c r="G18" s="57"/>
      <c r="H18" s="57"/>
      <c r="I18" s="57" t="s">
        <v>135</v>
      </c>
      <c r="J18" s="57"/>
      <c r="K18" s="154">
        <f>K16+K17</f>
        <v>2023483.9680000001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x14ac:dyDescent="0.2">
      <c r="A19" s="143"/>
      <c r="B19" s="57"/>
      <c r="C19" s="57"/>
      <c r="D19" s="57"/>
      <c r="E19" s="57"/>
      <c r="F19" s="57"/>
      <c r="G19" s="57"/>
      <c r="H19" s="57"/>
      <c r="I19" s="57" t="s">
        <v>178</v>
      </c>
      <c r="J19" s="57"/>
      <c r="K19" s="158">
        <f>K18/J11*100</f>
        <v>114.97068000000002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x14ac:dyDescent="0.2">
      <c r="A20" s="143"/>
      <c r="B20" s="57"/>
      <c r="C20" s="57"/>
      <c r="D20" s="57"/>
      <c r="E20" s="57"/>
      <c r="F20" s="57"/>
      <c r="G20" s="57"/>
      <c r="H20" s="57"/>
      <c r="I20" s="57" t="s">
        <v>10</v>
      </c>
      <c r="J20" s="57"/>
      <c r="K20" s="247">
        <v>1.96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x14ac:dyDescent="0.2">
      <c r="A21" s="14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" x14ac:dyDescent="0.25">
      <c r="A22" s="143"/>
      <c r="B22" s="57"/>
      <c r="C22" s="57"/>
      <c r="D22" s="57"/>
      <c r="E22" s="57"/>
      <c r="F22" s="209" t="s">
        <v>144</v>
      </c>
      <c r="G22" s="209"/>
      <c r="H22" s="209"/>
      <c r="I22" s="209"/>
      <c r="J22" s="209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x14ac:dyDescent="0.2">
      <c r="A23" s="143"/>
      <c r="B23" s="57"/>
      <c r="C23" s="57"/>
      <c r="D23" s="57"/>
      <c r="E23" s="57"/>
      <c r="F23" s="207" t="s">
        <v>142</v>
      </c>
      <c r="G23" s="207"/>
      <c r="H23" s="207"/>
      <c r="I23" s="207"/>
      <c r="J23" s="20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" x14ac:dyDescent="0.25">
      <c r="A24" s="143"/>
      <c r="B24" s="57"/>
      <c r="C24" s="57"/>
      <c r="D24" s="57"/>
      <c r="E24" s="159">
        <f>K19</f>
        <v>114.97068000000002</v>
      </c>
      <c r="F24" s="160">
        <v>2.08</v>
      </c>
      <c r="G24" s="160">
        <v>2.04</v>
      </c>
      <c r="H24" s="160">
        <v>2</v>
      </c>
      <c r="I24" s="161">
        <v>1.96</v>
      </c>
      <c r="J24" s="160">
        <v>1.93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x14ac:dyDescent="0.2">
      <c r="A25" s="143"/>
      <c r="B25" s="57"/>
      <c r="C25" s="57"/>
      <c r="D25" s="57"/>
      <c r="E25" s="162">
        <v>3.3500000000000002E-2</v>
      </c>
      <c r="F25" s="158">
        <f t="dataTable" ref="F25:J41" dt2D="1" dtr="1" r1="K20" r2="J12"/>
        <v>74.046148799999997</v>
      </c>
      <c r="G25" s="158">
        <v>72.622184399999995</v>
      </c>
      <c r="H25" s="158">
        <v>71.198220000000006</v>
      </c>
      <c r="I25" s="163">
        <v>69.774255600000004</v>
      </c>
      <c r="J25" s="158">
        <v>68.706282299999998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x14ac:dyDescent="0.2">
      <c r="A26" s="143"/>
      <c r="B26" s="57"/>
      <c r="C26" s="57"/>
      <c r="D26" s="57"/>
      <c r="E26" s="162">
        <v>3.4000000000000002E-2</v>
      </c>
      <c r="F26" s="158">
        <v>75.151315200000028</v>
      </c>
      <c r="G26" s="158">
        <v>73.706097599999993</v>
      </c>
      <c r="H26" s="158">
        <v>72.26088</v>
      </c>
      <c r="I26" s="163">
        <v>70.815662400000008</v>
      </c>
      <c r="J26" s="158">
        <v>69.73174920000001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x14ac:dyDescent="0.2">
      <c r="A27" s="143"/>
      <c r="B27" s="57"/>
      <c r="C27" s="57"/>
      <c r="D27" s="57"/>
      <c r="E27" s="162">
        <v>3.4500000000000003E-2</v>
      </c>
      <c r="F27" s="158">
        <v>76.256481600000015</v>
      </c>
      <c r="G27" s="158">
        <v>74.790010800000005</v>
      </c>
      <c r="H27" s="158">
        <v>73.323540000000008</v>
      </c>
      <c r="I27" s="163">
        <v>71.857069200000012</v>
      </c>
      <c r="J27" s="158">
        <v>70.757216100000008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x14ac:dyDescent="0.2">
      <c r="A28" s="143"/>
      <c r="B28" s="57"/>
      <c r="C28" s="57"/>
      <c r="D28" s="57"/>
      <c r="E28" s="162">
        <v>3.5000000000000003E-2</v>
      </c>
      <c r="F28" s="158">
        <v>77.361648000000017</v>
      </c>
      <c r="G28" s="158">
        <v>75.873924000000017</v>
      </c>
      <c r="H28" s="158">
        <v>74.386200000000002</v>
      </c>
      <c r="I28" s="163">
        <v>72.898476000000016</v>
      </c>
      <c r="J28" s="158">
        <v>71.782683000000006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x14ac:dyDescent="0.2">
      <c r="A29" s="143"/>
      <c r="B29" s="57"/>
      <c r="C29" s="57"/>
      <c r="D29" s="57"/>
      <c r="E29" s="162">
        <v>3.5499999999999997E-2</v>
      </c>
      <c r="F29" s="158">
        <v>78.46681439999999</v>
      </c>
      <c r="G29" s="158">
        <v>76.957837199999986</v>
      </c>
      <c r="H29" s="158">
        <v>75.448859999999982</v>
      </c>
      <c r="I29" s="163">
        <v>73.939882800000007</v>
      </c>
      <c r="J29" s="158">
        <v>72.808149899999989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x14ac:dyDescent="0.2">
      <c r="A30" s="143"/>
      <c r="B30" s="57"/>
      <c r="C30" s="57"/>
      <c r="D30" s="57"/>
      <c r="E30" s="162">
        <v>3.5999999999999997E-2</v>
      </c>
      <c r="F30" s="158">
        <v>79.571980799999992</v>
      </c>
      <c r="G30" s="158">
        <v>78.041750399999984</v>
      </c>
      <c r="H30" s="158">
        <v>76.51151999999999</v>
      </c>
      <c r="I30" s="163">
        <v>74.981289599999997</v>
      </c>
      <c r="J30" s="158">
        <v>73.833616799999987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x14ac:dyDescent="0.2">
      <c r="A31" s="143"/>
      <c r="B31" s="57"/>
      <c r="C31" s="57"/>
      <c r="D31" s="57"/>
      <c r="E31" s="162">
        <v>3.6499999999999998E-2</v>
      </c>
      <c r="F31" s="158">
        <v>80.677147199999993</v>
      </c>
      <c r="G31" s="158">
        <v>79.125663599999982</v>
      </c>
      <c r="H31" s="158">
        <v>77.574179999999984</v>
      </c>
      <c r="I31" s="163">
        <v>76.022696400000001</v>
      </c>
      <c r="J31" s="158">
        <v>74.859083699999999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x14ac:dyDescent="0.2">
      <c r="A32" s="143"/>
      <c r="B32" s="57"/>
      <c r="C32" s="57"/>
      <c r="D32" s="57"/>
      <c r="E32" s="162">
        <v>3.6999999999999998E-2</v>
      </c>
      <c r="F32" s="158">
        <v>81.782313599999995</v>
      </c>
      <c r="G32" s="158">
        <v>80.209576799999994</v>
      </c>
      <c r="H32" s="158">
        <v>78.636840000000007</v>
      </c>
      <c r="I32" s="163">
        <v>77.064103200000005</v>
      </c>
      <c r="J32" s="158">
        <v>75.884550599999997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x14ac:dyDescent="0.2">
      <c r="A33" s="143"/>
      <c r="B33" s="57"/>
      <c r="C33" s="57"/>
      <c r="D33" s="57"/>
      <c r="E33" s="162">
        <v>3.7499999999999999E-2</v>
      </c>
      <c r="F33" s="158">
        <v>82.887479999999996</v>
      </c>
      <c r="G33" s="158">
        <v>81.293489999999991</v>
      </c>
      <c r="H33" s="158">
        <v>79.6995</v>
      </c>
      <c r="I33" s="163">
        <v>78.105509999999995</v>
      </c>
      <c r="J33" s="158">
        <v>76.910017499999995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x14ac:dyDescent="0.2">
      <c r="A34" s="143"/>
      <c r="B34" s="57"/>
      <c r="C34" s="57"/>
      <c r="D34" s="57"/>
      <c r="E34" s="162">
        <v>3.7999999999999999E-2</v>
      </c>
      <c r="F34" s="158">
        <v>83.992646399999998</v>
      </c>
      <c r="G34" s="158">
        <v>82.377403200000003</v>
      </c>
      <c r="H34" s="158">
        <v>80.762160000000009</v>
      </c>
      <c r="I34" s="163">
        <v>79.146916800000014</v>
      </c>
      <c r="J34" s="158">
        <v>77.935484399999993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x14ac:dyDescent="0.2">
      <c r="A35" s="143"/>
      <c r="B35" s="57"/>
      <c r="C35" s="57"/>
      <c r="D35" s="68" t="s">
        <v>141</v>
      </c>
      <c r="E35" s="164">
        <f>'חשבון רכיבים'!C6</f>
        <v>3.8260000000000002E-2</v>
      </c>
      <c r="F35" s="163">
        <v>84.567332928000013</v>
      </c>
      <c r="G35" s="163">
        <v>82.941038063999997</v>
      </c>
      <c r="H35" s="163">
        <v>81.314743200000009</v>
      </c>
      <c r="I35" s="163">
        <v>79.688448336000022</v>
      </c>
      <c r="J35" s="163">
        <v>78.468727188000003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x14ac:dyDescent="0.2">
      <c r="A36" s="143"/>
      <c r="B36" s="57"/>
      <c r="C36" s="57"/>
      <c r="D36" s="57"/>
      <c r="E36" s="162">
        <v>3.85E-2</v>
      </c>
      <c r="F36" s="158">
        <v>85.0978128</v>
      </c>
      <c r="G36" s="158">
        <v>83.461316399999987</v>
      </c>
      <c r="H36" s="158">
        <v>81.824820000000003</v>
      </c>
      <c r="I36" s="163">
        <v>80.188323600000004</v>
      </c>
      <c r="J36" s="158">
        <v>78.960951300000005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x14ac:dyDescent="0.2">
      <c r="A37" s="143"/>
      <c r="B37" s="57"/>
      <c r="C37" s="57"/>
      <c r="D37" s="57"/>
      <c r="E37" s="162">
        <v>3.95E-2</v>
      </c>
      <c r="F37" s="158">
        <v>87.308145600000003</v>
      </c>
      <c r="G37" s="158">
        <v>85.629142799999997</v>
      </c>
      <c r="H37" s="158">
        <v>83.95013999999999</v>
      </c>
      <c r="I37" s="163">
        <v>82.271137200000013</v>
      </c>
      <c r="J37" s="158">
        <v>81.011885099999986</v>
      </c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x14ac:dyDescent="0.2">
      <c r="A38" s="143"/>
      <c r="B38" s="57"/>
      <c r="C38" s="57"/>
      <c r="D38" s="57"/>
      <c r="E38" s="162">
        <v>4.0500000000000001E-2</v>
      </c>
      <c r="F38" s="158">
        <v>89.898478400000002</v>
      </c>
      <c r="G38" s="158">
        <v>88.176969200000002</v>
      </c>
      <c r="H38" s="158">
        <v>86.455459999999988</v>
      </c>
      <c r="I38" s="163">
        <v>84.733950800000002</v>
      </c>
      <c r="J38" s="158">
        <v>83.442818899999992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x14ac:dyDescent="0.2">
      <c r="A39" s="143"/>
      <c r="B39" s="57"/>
      <c r="C39" s="57"/>
      <c r="D39" s="57"/>
      <c r="E39" s="162">
        <v>4.1500000000000002E-2</v>
      </c>
      <c r="F39" s="158">
        <v>92.868811199999996</v>
      </c>
      <c r="G39" s="158">
        <v>91.104795599999989</v>
      </c>
      <c r="H39" s="158">
        <v>89.340779999999995</v>
      </c>
      <c r="I39" s="163">
        <v>87.576764400000002</v>
      </c>
      <c r="J39" s="158">
        <v>86.253752699999993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x14ac:dyDescent="0.2">
      <c r="A40" s="143"/>
      <c r="B40" s="57"/>
      <c r="C40" s="57"/>
      <c r="D40" s="57"/>
      <c r="E40" s="162">
        <v>4.2500000000000003E-2</v>
      </c>
      <c r="F40" s="158">
        <v>96.219144000000014</v>
      </c>
      <c r="G40" s="158">
        <v>94.412621999999999</v>
      </c>
      <c r="H40" s="158">
        <v>92.606099999999998</v>
      </c>
      <c r="I40" s="163">
        <v>90.799577999999997</v>
      </c>
      <c r="J40" s="158">
        <v>89.444686499999989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x14ac:dyDescent="0.2">
      <c r="A41" s="143"/>
      <c r="B41" s="57"/>
      <c r="C41" s="57"/>
      <c r="D41" s="57"/>
      <c r="E41" s="162">
        <v>4.3499999999999997E-2</v>
      </c>
      <c r="F41" s="158">
        <v>99.569476800000004</v>
      </c>
      <c r="G41" s="158">
        <v>97.720448399999995</v>
      </c>
      <c r="H41" s="158">
        <v>95.871420000000001</v>
      </c>
      <c r="I41" s="163">
        <v>94.022391600000006</v>
      </c>
      <c r="J41" s="158">
        <v>92.635620299999999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x14ac:dyDescent="0.2">
      <c r="A42" s="14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x14ac:dyDescent="0.2">
      <c r="A43" s="14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" x14ac:dyDescent="0.25">
      <c r="A44" s="143"/>
      <c r="B44" s="57"/>
      <c r="C44" s="57"/>
      <c r="D44" s="57"/>
      <c r="E44" s="57"/>
      <c r="F44" s="203" t="s">
        <v>143</v>
      </c>
      <c r="G44" s="203"/>
      <c r="H44" s="203"/>
      <c r="I44" s="203"/>
      <c r="J44" s="203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x14ac:dyDescent="0.2">
      <c r="A45" s="143"/>
      <c r="B45" s="57"/>
      <c r="C45" s="57"/>
      <c r="D45" s="57"/>
      <c r="E45" s="57"/>
      <c r="F45" s="207" t="s">
        <v>142</v>
      </c>
      <c r="G45" s="207"/>
      <c r="H45" s="207"/>
      <c r="I45" s="207"/>
      <c r="J45" s="20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" x14ac:dyDescent="0.25">
      <c r="A46" s="143"/>
      <c r="B46" s="57"/>
      <c r="C46" s="57"/>
      <c r="D46" s="57"/>
      <c r="E46" s="159">
        <f>K41</f>
        <v>0</v>
      </c>
      <c r="F46" s="160">
        <v>2.08</v>
      </c>
      <c r="G46" s="160">
        <v>2.04</v>
      </c>
      <c r="H46" s="160">
        <v>2</v>
      </c>
      <c r="I46" s="161">
        <v>1.96</v>
      </c>
      <c r="J46" s="160">
        <v>1.93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x14ac:dyDescent="0.2">
      <c r="A47" s="143"/>
      <c r="B47" s="57"/>
      <c r="C47" s="57"/>
      <c r="D47" s="57"/>
      <c r="E47" s="162">
        <v>3.3500000000000002E-2</v>
      </c>
      <c r="F47" s="165">
        <f>F25-F$35</f>
        <v>-10.521184128000016</v>
      </c>
      <c r="G47" s="165">
        <f t="shared" ref="G47:J47" si="2">G25-G$35</f>
        <v>-10.318853664000002</v>
      </c>
      <c r="H47" s="165">
        <f t="shared" si="2"/>
        <v>-10.116523200000003</v>
      </c>
      <c r="I47" s="166">
        <f t="shared" si="2"/>
        <v>-9.9141927360000182</v>
      </c>
      <c r="J47" s="165">
        <f t="shared" si="2"/>
        <v>-9.7624448880000045</v>
      </c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x14ac:dyDescent="0.2">
      <c r="A48" s="143"/>
      <c r="B48" s="57"/>
      <c r="C48" s="57"/>
      <c r="D48" s="57"/>
      <c r="E48" s="162">
        <v>3.4000000000000002E-2</v>
      </c>
      <c r="F48" s="165">
        <f t="shared" ref="F48:J63" si="3">F26-F$35</f>
        <v>-9.4160177279999857</v>
      </c>
      <c r="G48" s="165">
        <f t="shared" si="3"/>
        <v>-9.2349404640000046</v>
      </c>
      <c r="H48" s="165">
        <f t="shared" si="3"/>
        <v>-9.0538632000000092</v>
      </c>
      <c r="I48" s="166">
        <f t="shared" si="3"/>
        <v>-8.8727859360000139</v>
      </c>
      <c r="J48" s="165">
        <f t="shared" si="3"/>
        <v>-8.7369779879999925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x14ac:dyDescent="0.2">
      <c r="A49" s="143"/>
      <c r="B49" s="57"/>
      <c r="C49" s="57"/>
      <c r="D49" s="57"/>
      <c r="E49" s="162">
        <v>3.4500000000000003E-2</v>
      </c>
      <c r="F49" s="165">
        <f t="shared" si="3"/>
        <v>-8.3108513279999983</v>
      </c>
      <c r="G49" s="165">
        <f t="shared" si="3"/>
        <v>-8.1510272639999926</v>
      </c>
      <c r="H49" s="165">
        <f t="shared" si="3"/>
        <v>-7.9912032000000011</v>
      </c>
      <c r="I49" s="166">
        <f t="shared" si="3"/>
        <v>-7.8313791360000096</v>
      </c>
      <c r="J49" s="165">
        <f t="shared" si="3"/>
        <v>-7.7115110879999946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x14ac:dyDescent="0.2">
      <c r="A50" s="143"/>
      <c r="B50" s="57"/>
      <c r="C50" s="57"/>
      <c r="D50" s="57"/>
      <c r="E50" s="162">
        <v>3.5000000000000003E-2</v>
      </c>
      <c r="F50" s="165">
        <f t="shared" si="3"/>
        <v>-7.2056849279999966</v>
      </c>
      <c r="G50" s="165">
        <f t="shared" si="3"/>
        <v>-7.0671140639999805</v>
      </c>
      <c r="H50" s="165">
        <f t="shared" si="3"/>
        <v>-6.9285432000000071</v>
      </c>
      <c r="I50" s="166">
        <f t="shared" si="3"/>
        <v>-6.7899723360000053</v>
      </c>
      <c r="J50" s="165">
        <f t="shared" si="3"/>
        <v>-6.6860441879999968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x14ac:dyDescent="0.2">
      <c r="A51" s="143"/>
      <c r="B51" s="57"/>
      <c r="C51" s="57"/>
      <c r="D51" s="57"/>
      <c r="E51" s="162">
        <v>3.5499999999999997E-2</v>
      </c>
      <c r="F51" s="165">
        <f t="shared" si="3"/>
        <v>-6.1005185280000234</v>
      </c>
      <c r="G51" s="165">
        <f t="shared" si="3"/>
        <v>-5.9832008640000112</v>
      </c>
      <c r="H51" s="165">
        <f t="shared" si="3"/>
        <v>-5.8658832000000274</v>
      </c>
      <c r="I51" s="166">
        <f t="shared" si="3"/>
        <v>-5.7485655360000152</v>
      </c>
      <c r="J51" s="165">
        <f t="shared" si="3"/>
        <v>-5.6605772880000131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x14ac:dyDescent="0.2">
      <c r="A52" s="143"/>
      <c r="B52" s="57"/>
      <c r="C52" s="57"/>
      <c r="D52" s="57"/>
      <c r="E52" s="162">
        <v>3.5999999999999997E-2</v>
      </c>
      <c r="F52" s="165">
        <f t="shared" si="3"/>
        <v>-4.9953521280000217</v>
      </c>
      <c r="G52" s="165">
        <f t="shared" si="3"/>
        <v>-4.8992876640000134</v>
      </c>
      <c r="H52" s="165">
        <f t="shared" si="3"/>
        <v>-4.8032232000000192</v>
      </c>
      <c r="I52" s="166">
        <f t="shared" si="3"/>
        <v>-4.7071587360000251</v>
      </c>
      <c r="J52" s="165">
        <f t="shared" si="3"/>
        <v>-4.6351103880000153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x14ac:dyDescent="0.2">
      <c r="A53" s="143"/>
      <c r="B53" s="57"/>
      <c r="C53" s="57"/>
      <c r="D53" s="57"/>
      <c r="E53" s="162">
        <v>3.6499999999999998E-2</v>
      </c>
      <c r="F53" s="165">
        <f t="shared" si="3"/>
        <v>-3.89018572800002</v>
      </c>
      <c r="G53" s="165">
        <f t="shared" si="3"/>
        <v>-3.8153744640000156</v>
      </c>
      <c r="H53" s="165">
        <f t="shared" si="3"/>
        <v>-3.7405632000000253</v>
      </c>
      <c r="I53" s="166">
        <f t="shared" si="3"/>
        <v>-3.6657519360000208</v>
      </c>
      <c r="J53" s="165">
        <f t="shared" si="3"/>
        <v>-3.6096434880000032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x14ac:dyDescent="0.2">
      <c r="A54" s="143"/>
      <c r="B54" s="57"/>
      <c r="C54" s="57"/>
      <c r="D54" s="57"/>
      <c r="E54" s="162">
        <v>3.6999999999999998E-2</v>
      </c>
      <c r="F54" s="165">
        <f t="shared" si="3"/>
        <v>-2.7850193280000184</v>
      </c>
      <c r="G54" s="165">
        <f t="shared" si="3"/>
        <v>-2.7314612640000036</v>
      </c>
      <c r="H54" s="165">
        <f t="shared" si="3"/>
        <v>-2.6779032000000029</v>
      </c>
      <c r="I54" s="166">
        <f t="shared" si="3"/>
        <v>-2.6243451360000165</v>
      </c>
      <c r="J54" s="165">
        <f t="shared" si="3"/>
        <v>-2.5841765880000054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x14ac:dyDescent="0.2">
      <c r="A55" s="143"/>
      <c r="B55" s="57"/>
      <c r="C55" s="57"/>
      <c r="D55" s="57"/>
      <c r="E55" s="162">
        <v>3.7499999999999999E-2</v>
      </c>
      <c r="F55" s="165">
        <f t="shared" si="3"/>
        <v>-1.6798529280000167</v>
      </c>
      <c r="G55" s="165">
        <f t="shared" si="3"/>
        <v>-1.6475480640000058</v>
      </c>
      <c r="H55" s="165">
        <f t="shared" si="3"/>
        <v>-1.615243200000009</v>
      </c>
      <c r="I55" s="166">
        <f t="shared" si="3"/>
        <v>-1.5829383360000264</v>
      </c>
      <c r="J55" s="165">
        <f t="shared" si="3"/>
        <v>-1.5587096880000075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x14ac:dyDescent="0.2">
      <c r="A56" s="143"/>
      <c r="B56" s="57"/>
      <c r="C56" s="57"/>
      <c r="D56" s="57"/>
      <c r="E56" s="162">
        <v>3.7999999999999999E-2</v>
      </c>
      <c r="F56" s="165">
        <f t="shared" si="3"/>
        <v>-0.57468652800001507</v>
      </c>
      <c r="G56" s="165">
        <f t="shared" si="3"/>
        <v>-0.56363486399999374</v>
      </c>
      <c r="H56" s="165">
        <f t="shared" si="3"/>
        <v>-0.55258320000000083</v>
      </c>
      <c r="I56" s="166">
        <f t="shared" si="3"/>
        <v>-0.54153153600000792</v>
      </c>
      <c r="J56" s="165">
        <f t="shared" si="3"/>
        <v>-0.53324278800000968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x14ac:dyDescent="0.2">
      <c r="A57" s="143"/>
      <c r="B57" s="57"/>
      <c r="C57" s="57"/>
      <c r="D57" s="57"/>
      <c r="E57" s="167">
        <f>E35</f>
        <v>3.8260000000000002E-2</v>
      </c>
      <c r="F57" s="165">
        <f t="shared" si="3"/>
        <v>0</v>
      </c>
      <c r="G57" s="165">
        <f t="shared" si="3"/>
        <v>0</v>
      </c>
      <c r="H57" s="165">
        <f t="shared" si="3"/>
        <v>0</v>
      </c>
      <c r="I57" s="166">
        <f t="shared" si="3"/>
        <v>0</v>
      </c>
      <c r="J57" s="165">
        <f t="shared" si="3"/>
        <v>0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x14ac:dyDescent="0.2">
      <c r="A58" s="143"/>
      <c r="B58" s="57"/>
      <c r="C58" s="57"/>
      <c r="D58" s="57"/>
      <c r="E58" s="162">
        <v>3.85E-2</v>
      </c>
      <c r="F58" s="165">
        <f t="shared" si="3"/>
        <v>0.53047987199998659</v>
      </c>
      <c r="G58" s="165">
        <f t="shared" si="3"/>
        <v>0.52027833599998985</v>
      </c>
      <c r="H58" s="165">
        <f t="shared" si="3"/>
        <v>0.51007679999999311</v>
      </c>
      <c r="I58" s="166">
        <f t="shared" si="3"/>
        <v>0.49987526399998217</v>
      </c>
      <c r="J58" s="165">
        <f t="shared" si="3"/>
        <v>0.49222411200000238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x14ac:dyDescent="0.2">
      <c r="A59" s="143"/>
      <c r="B59" s="57"/>
      <c r="C59" s="57"/>
      <c r="D59" s="57"/>
      <c r="E59" s="162">
        <v>3.95E-2</v>
      </c>
      <c r="F59" s="165">
        <f t="shared" si="3"/>
        <v>2.7408126719999899</v>
      </c>
      <c r="G59" s="165">
        <f t="shared" si="3"/>
        <v>2.6881047359999997</v>
      </c>
      <c r="H59" s="165">
        <f t="shared" si="3"/>
        <v>2.635396799999981</v>
      </c>
      <c r="I59" s="166">
        <f t="shared" si="3"/>
        <v>2.5826888639999908</v>
      </c>
      <c r="J59" s="165">
        <f t="shared" si="3"/>
        <v>2.5431579119999839</v>
      </c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x14ac:dyDescent="0.2">
      <c r="A60" s="143"/>
      <c r="B60" s="57"/>
      <c r="C60" s="57"/>
      <c r="D60" s="57"/>
      <c r="E60" s="162">
        <v>4.0500000000000001E-2</v>
      </c>
      <c r="F60" s="165">
        <f t="shared" si="3"/>
        <v>5.3311454719999887</v>
      </c>
      <c r="G60" s="165">
        <f t="shared" si="3"/>
        <v>5.2359311360000049</v>
      </c>
      <c r="H60" s="165">
        <f t="shared" si="3"/>
        <v>5.1407167999999785</v>
      </c>
      <c r="I60" s="166">
        <f t="shared" si="3"/>
        <v>5.0455024639999806</v>
      </c>
      <c r="J60" s="165">
        <f t="shared" si="3"/>
        <v>4.9740917119999892</v>
      </c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x14ac:dyDescent="0.2">
      <c r="A61" s="143"/>
      <c r="B61" s="57"/>
      <c r="C61" s="57"/>
      <c r="D61" s="57"/>
      <c r="E61" s="162">
        <v>4.1500000000000002E-2</v>
      </c>
      <c r="F61" s="165">
        <f t="shared" si="3"/>
        <v>8.3014782719999829</v>
      </c>
      <c r="G61" s="165">
        <f t="shared" si="3"/>
        <v>8.1637575359999914</v>
      </c>
      <c r="H61" s="165">
        <f t="shared" si="3"/>
        <v>8.0260367999999858</v>
      </c>
      <c r="I61" s="166">
        <f t="shared" si="3"/>
        <v>7.8883160639999801</v>
      </c>
      <c r="J61" s="165">
        <f t="shared" si="3"/>
        <v>7.78502551199999</v>
      </c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x14ac:dyDescent="0.2">
      <c r="A62" s="143"/>
      <c r="B62" s="57"/>
      <c r="C62" s="57"/>
      <c r="D62" s="57"/>
      <c r="E62" s="162">
        <v>4.2500000000000003E-2</v>
      </c>
      <c r="F62" s="165">
        <f t="shared" si="3"/>
        <v>11.651811072000001</v>
      </c>
      <c r="G62" s="165">
        <f t="shared" si="3"/>
        <v>11.471583936000002</v>
      </c>
      <c r="H62" s="165">
        <f t="shared" si="3"/>
        <v>11.291356799999988</v>
      </c>
      <c r="I62" s="166">
        <f t="shared" si="3"/>
        <v>11.111129663999975</v>
      </c>
      <c r="J62" s="165">
        <f t="shared" si="3"/>
        <v>10.975959311999986</v>
      </c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x14ac:dyDescent="0.2">
      <c r="A63" s="143"/>
      <c r="B63" s="57"/>
      <c r="C63" s="57"/>
      <c r="D63" s="57"/>
      <c r="E63" s="162">
        <v>4.3499999999999997E-2</v>
      </c>
      <c r="F63" s="165">
        <f t="shared" si="3"/>
        <v>15.002143871999991</v>
      </c>
      <c r="G63" s="165">
        <f t="shared" si="3"/>
        <v>14.779410335999998</v>
      </c>
      <c r="H63" s="165">
        <f t="shared" si="3"/>
        <v>14.556676799999991</v>
      </c>
      <c r="I63" s="166">
        <f t="shared" si="3"/>
        <v>14.333943263999984</v>
      </c>
      <c r="J63" s="165">
        <f t="shared" si="3"/>
        <v>14.166893111999997</v>
      </c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x14ac:dyDescent="0.2">
      <c r="A64" s="143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x14ac:dyDescent="0.2">
      <c r="A65" s="143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x14ac:dyDescent="0.2">
      <c r="A66" s="143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x14ac:dyDescent="0.2">
      <c r="A67" s="143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x14ac:dyDescent="0.2">
      <c r="A68" s="143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x14ac:dyDescent="0.2">
      <c r="A69" s="143"/>
      <c r="B69" s="57"/>
      <c r="C69" s="57"/>
      <c r="D69" s="57"/>
      <c r="E69" s="168"/>
      <c r="F69" s="169"/>
      <c r="G69" s="169"/>
      <c r="H69" s="169"/>
      <c r="I69" s="169"/>
      <c r="J69" s="169"/>
      <c r="K69" s="170"/>
      <c r="L69" s="169"/>
      <c r="M69" s="169"/>
      <c r="N69" s="169"/>
      <c r="O69" s="169"/>
      <c r="P69" s="169"/>
      <c r="Q69" s="169"/>
      <c r="R69" s="169"/>
      <c r="S69" s="169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x14ac:dyDescent="0.2">
      <c r="A70" s="143"/>
      <c r="B70" s="57"/>
      <c r="C70" s="57"/>
      <c r="D70" s="57"/>
      <c r="E70" s="171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x14ac:dyDescent="0.2">
      <c r="A71" s="143"/>
      <c r="B71" s="57"/>
      <c r="C71" s="57"/>
      <c r="D71" s="57"/>
      <c r="E71" s="171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x14ac:dyDescent="0.2">
      <c r="A72" s="143"/>
      <c r="B72" s="57"/>
      <c r="C72" s="57"/>
      <c r="D72" s="57"/>
      <c r="E72" s="171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x14ac:dyDescent="0.2">
      <c r="A73" s="143"/>
      <c r="B73" s="57"/>
      <c r="C73" s="57"/>
      <c r="D73" s="57"/>
      <c r="E73" s="171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x14ac:dyDescent="0.2">
      <c r="A74" s="143"/>
      <c r="B74" s="57"/>
      <c r="C74" s="57"/>
      <c r="D74" s="57"/>
      <c r="E74" s="171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x14ac:dyDescent="0.2">
      <c r="A75" s="143"/>
      <c r="B75" s="57"/>
      <c r="C75" s="57"/>
      <c r="D75" s="57"/>
      <c r="E75" s="171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x14ac:dyDescent="0.2">
      <c r="A76" s="143"/>
      <c r="B76" s="57"/>
      <c r="C76" s="57"/>
      <c r="D76" s="57"/>
      <c r="E76" s="171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x14ac:dyDescent="0.2">
      <c r="A77" s="143"/>
      <c r="B77" s="57"/>
      <c r="C77" s="57"/>
      <c r="D77" s="57"/>
      <c r="E77" s="171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x14ac:dyDescent="0.2">
      <c r="A78" s="143"/>
      <c r="B78" s="57"/>
      <c r="C78" s="57"/>
      <c r="D78" s="57"/>
      <c r="E78" s="171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x14ac:dyDescent="0.2">
      <c r="A79" s="143"/>
      <c r="B79" s="57"/>
      <c r="C79" s="57"/>
      <c r="D79" s="57"/>
      <c r="E79" s="171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x14ac:dyDescent="0.2">
      <c r="A80" s="143"/>
      <c r="B80" s="57"/>
      <c r="C80" s="57"/>
      <c r="D80" s="57"/>
      <c r="E80" s="172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x14ac:dyDescent="0.2">
      <c r="A81" s="143"/>
      <c r="B81" s="57"/>
      <c r="C81" s="57"/>
      <c r="D81" s="57"/>
      <c r="E81" s="171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x14ac:dyDescent="0.2">
      <c r="A82" s="143"/>
      <c r="B82" s="57"/>
      <c r="C82" s="57"/>
      <c r="D82" s="57"/>
      <c r="E82" s="171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x14ac:dyDescent="0.2">
      <c r="A83" s="143"/>
      <c r="B83" s="57"/>
      <c r="C83" s="57"/>
      <c r="D83" s="57"/>
      <c r="E83" s="171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x14ac:dyDescent="0.2">
      <c r="B84" s="57"/>
      <c r="C84" s="57"/>
      <c r="D84" s="57"/>
      <c r="E84" s="171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x14ac:dyDescent="0.2">
      <c r="B85" s="57"/>
      <c r="C85" s="57"/>
      <c r="D85" s="57"/>
      <c r="E85" s="171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x14ac:dyDescent="0.2">
      <c r="B86" s="57"/>
      <c r="C86" s="57"/>
      <c r="D86" s="57"/>
      <c r="E86" s="171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</sheetData>
  <sheetProtection password="CCDD" sheet="1" objects="1" scenarios="1" selectLockedCells="1"/>
  <mergeCells count="6">
    <mergeCell ref="F45:J45"/>
    <mergeCell ref="D3:G3"/>
    <mergeCell ref="I3:L3"/>
    <mergeCell ref="F23:J23"/>
    <mergeCell ref="F22:J22"/>
    <mergeCell ref="D10:G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Y61"/>
  <sheetViews>
    <sheetView rightToLeft="1" workbookViewId="0">
      <selection activeCell="E1" sqref="E1"/>
    </sheetView>
  </sheetViews>
  <sheetFormatPr defaultRowHeight="14.25" x14ac:dyDescent="0.2"/>
  <cols>
    <col min="4" max="4" width="13.625" customWidth="1"/>
    <col min="20" max="20" width="17.5" customWidth="1"/>
    <col min="21" max="21" width="10.875" customWidth="1"/>
    <col min="22" max="22" width="17.875" customWidth="1"/>
    <col min="23" max="23" width="17.75" customWidth="1"/>
    <col min="24" max="24" width="12.25" customWidth="1"/>
  </cols>
  <sheetData>
    <row r="1" spans="4:25" x14ac:dyDescent="0.2">
      <c r="D1" s="57" t="s">
        <v>10</v>
      </c>
      <c r="E1" s="245">
        <v>2</v>
      </c>
      <c r="F1" s="57" t="s">
        <v>151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4:25" ht="15" x14ac:dyDescent="0.25">
      <c r="D2" s="57" t="s">
        <v>153</v>
      </c>
      <c r="E2" s="246">
        <v>1</v>
      </c>
      <c r="F2" s="186" t="s">
        <v>154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4:25" x14ac:dyDescent="0.2"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4:25" ht="15" x14ac:dyDescent="0.25">
      <c r="D4" s="173" t="s">
        <v>150</v>
      </c>
      <c r="E4" s="209" t="s">
        <v>152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57"/>
      <c r="T4" s="57"/>
      <c r="U4" s="57"/>
      <c r="V4" s="57"/>
      <c r="W4" s="57"/>
      <c r="X4" s="57"/>
      <c r="Y4" s="57"/>
    </row>
    <row r="5" spans="4:25" ht="15" x14ac:dyDescent="0.25">
      <c r="D5" s="174">
        <f>K33</f>
        <v>1.9996484000000001</v>
      </c>
      <c r="E5" s="175">
        <v>3.2000000000000001E-2</v>
      </c>
      <c r="F5" s="175">
        <v>3.2500000000000001E-2</v>
      </c>
      <c r="G5" s="175">
        <v>3.3000000000000002E-2</v>
      </c>
      <c r="H5" s="175">
        <v>3.3500000000000002E-2</v>
      </c>
      <c r="I5" s="175">
        <v>3.4000000000000002E-2</v>
      </c>
      <c r="J5" s="176">
        <f>E29</f>
        <v>3.4320000000000003E-2</v>
      </c>
      <c r="K5" s="175">
        <v>3.4500000000000003E-2</v>
      </c>
      <c r="L5" s="175">
        <v>3.5000000000000003E-2</v>
      </c>
      <c r="M5" s="175">
        <v>3.5499999999999997E-2</v>
      </c>
      <c r="N5" s="175">
        <v>3.5999999999999997E-2</v>
      </c>
      <c r="O5" s="175">
        <v>3.6499999999999998E-2</v>
      </c>
      <c r="P5" s="175">
        <v>3.6999999999999998E-2</v>
      </c>
      <c r="Q5" s="175">
        <v>3.7499999999999999E-2</v>
      </c>
      <c r="R5" s="175">
        <v>3.7999999999999999E-2</v>
      </c>
      <c r="S5" s="57"/>
      <c r="T5" s="57"/>
      <c r="U5" s="57"/>
      <c r="V5" s="57"/>
      <c r="W5" s="57"/>
      <c r="X5" s="57"/>
      <c r="Y5" s="57"/>
    </row>
    <row r="6" spans="4:25" ht="15" x14ac:dyDescent="0.25">
      <c r="D6" s="177">
        <v>3.3500000000000002E-2</v>
      </c>
      <c r="E6" s="158">
        <f t="dataTable" ref="E6:R22" dt2D="1" dtr="1" r1="J30" r2="J29"/>
        <v>1.8321229999999999</v>
      </c>
      <c r="F6" s="158">
        <v>1.8465002000000001</v>
      </c>
      <c r="G6" s="158">
        <v>1.8608773999999999</v>
      </c>
      <c r="H6" s="158">
        <v>1.8752546000000001</v>
      </c>
      <c r="I6" s="158">
        <v>1.8896318000000001</v>
      </c>
      <c r="J6" s="163">
        <v>1.8988332080000001</v>
      </c>
      <c r="K6" s="158">
        <v>1.9040090000000001</v>
      </c>
      <c r="L6" s="158">
        <v>1.9183862</v>
      </c>
      <c r="M6" s="158">
        <v>1.9327633999999998</v>
      </c>
      <c r="N6" s="158">
        <v>1.9471406</v>
      </c>
      <c r="O6" s="158">
        <v>1.9615178</v>
      </c>
      <c r="P6" s="158">
        <v>1.975895</v>
      </c>
      <c r="Q6" s="158">
        <v>1.9902721999999999</v>
      </c>
      <c r="R6" s="158">
        <v>2.0046493999999999</v>
      </c>
      <c r="S6" s="57"/>
      <c r="T6" s="57"/>
      <c r="U6" s="57"/>
      <c r="V6" s="57"/>
      <c r="W6" s="57"/>
      <c r="X6" s="57"/>
      <c r="Y6" s="57"/>
    </row>
    <row r="7" spans="4:25" ht="15" x14ac:dyDescent="0.25">
      <c r="D7" s="177">
        <v>3.4000000000000002E-2</v>
      </c>
      <c r="E7" s="158">
        <v>1.8427496000000001</v>
      </c>
      <c r="F7" s="158">
        <v>1.8571268000000001</v>
      </c>
      <c r="G7" s="158">
        <v>1.8715040000000001</v>
      </c>
      <c r="H7" s="158">
        <v>1.8858812</v>
      </c>
      <c r="I7" s="158">
        <v>1.9002584</v>
      </c>
      <c r="J7" s="163">
        <v>1.909459808</v>
      </c>
      <c r="K7" s="158">
        <v>1.9146356000000002</v>
      </c>
      <c r="L7" s="158">
        <v>1.9290128</v>
      </c>
      <c r="M7" s="158">
        <v>1.9433899999999997</v>
      </c>
      <c r="N7" s="158">
        <v>1.9577671999999999</v>
      </c>
      <c r="O7" s="158">
        <v>1.9721444000000001</v>
      </c>
      <c r="P7" s="158">
        <v>1.9865215999999999</v>
      </c>
      <c r="Q7" s="158">
        <v>2.0008988000000003</v>
      </c>
      <c r="R7" s="158">
        <v>2.0152760000000001</v>
      </c>
      <c r="S7" s="57"/>
      <c r="T7" s="57"/>
      <c r="U7" s="57"/>
      <c r="V7" s="57"/>
      <c r="W7" s="57"/>
      <c r="X7" s="57"/>
      <c r="Y7" s="57"/>
    </row>
    <row r="8" spans="4:25" ht="15" x14ac:dyDescent="0.25">
      <c r="D8" s="177">
        <v>3.4500000000000003E-2</v>
      </c>
      <c r="E8" s="158">
        <v>1.8533762</v>
      </c>
      <c r="F8" s="158">
        <v>1.8677534</v>
      </c>
      <c r="G8" s="158">
        <v>1.8821306000000002</v>
      </c>
      <c r="H8" s="158">
        <v>1.8965078</v>
      </c>
      <c r="I8" s="158">
        <v>1.9108850000000002</v>
      </c>
      <c r="J8" s="163">
        <v>1.9200864080000002</v>
      </c>
      <c r="K8" s="158">
        <v>1.9252622000000001</v>
      </c>
      <c r="L8" s="158">
        <v>1.9396394000000001</v>
      </c>
      <c r="M8" s="158">
        <v>1.9540165999999999</v>
      </c>
      <c r="N8" s="158">
        <v>1.9683938000000001</v>
      </c>
      <c r="O8" s="158">
        <v>1.9827710000000001</v>
      </c>
      <c r="P8" s="158">
        <v>1.9971482</v>
      </c>
      <c r="Q8" s="158">
        <v>2.0115254</v>
      </c>
      <c r="R8" s="158">
        <v>2.0259026000000002</v>
      </c>
      <c r="S8" s="57"/>
      <c r="T8" s="57"/>
      <c r="U8" s="57"/>
      <c r="V8" s="57"/>
      <c r="W8" s="57"/>
      <c r="X8" s="57"/>
      <c r="Y8" s="57"/>
    </row>
    <row r="9" spans="4:25" ht="15" customHeight="1" x14ac:dyDescent="0.25">
      <c r="D9" s="177">
        <v>3.5000000000000003E-2</v>
      </c>
      <c r="E9" s="158">
        <v>1.8640028</v>
      </c>
      <c r="F9" s="158">
        <v>1.8783800000000002</v>
      </c>
      <c r="G9" s="158">
        <v>1.8927571999999999</v>
      </c>
      <c r="H9" s="158">
        <v>1.9071344000000001</v>
      </c>
      <c r="I9" s="158">
        <v>1.9215116000000001</v>
      </c>
      <c r="J9" s="163">
        <v>1.9307130080000001</v>
      </c>
      <c r="K9" s="158">
        <v>1.9358888000000001</v>
      </c>
      <c r="L9" s="158">
        <v>1.9502660000000001</v>
      </c>
      <c r="M9" s="158">
        <v>1.9646431999999998</v>
      </c>
      <c r="N9" s="158">
        <v>1.9790204</v>
      </c>
      <c r="O9" s="158">
        <v>1.9933976</v>
      </c>
      <c r="P9" s="158">
        <v>2.0077748</v>
      </c>
      <c r="Q9" s="158">
        <v>2.0221520000000002</v>
      </c>
      <c r="R9" s="158">
        <v>2.0365291999999999</v>
      </c>
      <c r="S9" s="57"/>
      <c r="T9" s="57"/>
      <c r="U9" s="57"/>
      <c r="V9" s="57"/>
      <c r="W9" s="57"/>
      <c r="X9" s="57"/>
      <c r="Y9" s="57"/>
    </row>
    <row r="10" spans="4:25" ht="15" x14ac:dyDescent="0.25">
      <c r="D10" s="177">
        <v>3.5499999999999997E-2</v>
      </c>
      <c r="E10" s="158">
        <v>1.8746293999999999</v>
      </c>
      <c r="F10" s="158">
        <v>1.8890065999999999</v>
      </c>
      <c r="G10" s="158">
        <v>1.9033838000000001</v>
      </c>
      <c r="H10" s="158">
        <v>1.9177609999999998</v>
      </c>
      <c r="I10" s="158">
        <v>1.9321382</v>
      </c>
      <c r="J10" s="163">
        <v>1.941339608</v>
      </c>
      <c r="K10" s="158">
        <v>1.9465154</v>
      </c>
      <c r="L10" s="158">
        <v>1.9608926</v>
      </c>
      <c r="M10" s="158">
        <v>1.9752697999999997</v>
      </c>
      <c r="N10" s="158">
        <v>1.9896469999999999</v>
      </c>
      <c r="O10" s="158">
        <v>2.0040241999999999</v>
      </c>
      <c r="P10" s="158">
        <v>2.0184014000000001</v>
      </c>
      <c r="Q10" s="158">
        <v>2.0327785999999999</v>
      </c>
      <c r="R10" s="158">
        <v>2.0471558000000001</v>
      </c>
      <c r="S10" s="57"/>
      <c r="T10" s="57"/>
      <c r="U10" s="57"/>
      <c r="V10" s="57"/>
      <c r="W10" s="57"/>
      <c r="X10" s="57"/>
      <c r="Y10" s="57"/>
    </row>
    <row r="11" spans="4:25" ht="15" x14ac:dyDescent="0.25">
      <c r="D11" s="177">
        <v>3.5999999999999997E-2</v>
      </c>
      <c r="E11" s="158">
        <v>1.8852559999999998</v>
      </c>
      <c r="F11" s="158">
        <v>1.8996332</v>
      </c>
      <c r="G11" s="158">
        <v>1.9140103999999998</v>
      </c>
      <c r="H11" s="158">
        <v>1.9283876</v>
      </c>
      <c r="I11" s="158">
        <v>1.9427648</v>
      </c>
      <c r="J11" s="163">
        <v>1.951966208</v>
      </c>
      <c r="K11" s="158">
        <v>1.9571419999999999</v>
      </c>
      <c r="L11" s="158">
        <v>1.9715191999999999</v>
      </c>
      <c r="M11" s="158">
        <v>1.9858963999999997</v>
      </c>
      <c r="N11" s="158">
        <v>2.0002735999999999</v>
      </c>
      <c r="O11" s="158">
        <v>2.0146508000000001</v>
      </c>
      <c r="P11" s="158">
        <v>2.0290279999999998</v>
      </c>
      <c r="Q11" s="158">
        <v>2.0434052</v>
      </c>
      <c r="R11" s="158">
        <v>2.0577823999999998</v>
      </c>
      <c r="S11" s="57"/>
      <c r="T11" s="57"/>
      <c r="U11" s="57"/>
      <c r="V11" s="57"/>
      <c r="W11" s="57"/>
      <c r="X11" s="57"/>
      <c r="Y11" s="57"/>
    </row>
    <row r="12" spans="4:25" ht="15" x14ac:dyDescent="0.25">
      <c r="D12" s="177">
        <v>3.6499999999999998E-2</v>
      </c>
      <c r="E12" s="158">
        <v>1.8958826</v>
      </c>
      <c r="F12" s="158">
        <v>1.9102598</v>
      </c>
      <c r="G12" s="158">
        <v>1.9246369999999999</v>
      </c>
      <c r="H12" s="158">
        <v>1.9390141999999999</v>
      </c>
      <c r="I12" s="158">
        <v>1.9533913999999999</v>
      </c>
      <c r="J12" s="163">
        <v>1.9625928079999999</v>
      </c>
      <c r="K12" s="158">
        <v>1.9677686000000001</v>
      </c>
      <c r="L12" s="158">
        <v>1.9821457999999998</v>
      </c>
      <c r="M12" s="158">
        <v>1.9965229999999996</v>
      </c>
      <c r="N12" s="158">
        <v>2.0109002</v>
      </c>
      <c r="O12" s="158">
        <v>2.0252774000000002</v>
      </c>
      <c r="P12" s="158">
        <v>2.0396546</v>
      </c>
      <c r="Q12" s="158">
        <v>2.0540318000000002</v>
      </c>
      <c r="R12" s="158">
        <v>2.0684089999999999</v>
      </c>
      <c r="S12" s="57"/>
      <c r="T12" s="57"/>
      <c r="U12" s="57"/>
      <c r="V12" s="57"/>
      <c r="W12" s="57"/>
      <c r="X12" s="57"/>
      <c r="Y12" s="57"/>
    </row>
    <row r="13" spans="4:25" ht="15" x14ac:dyDescent="0.25">
      <c r="D13" s="177">
        <v>3.6999999999999998E-2</v>
      </c>
      <c r="E13" s="158">
        <v>1.9065091999999999</v>
      </c>
      <c r="F13" s="158">
        <v>1.9208863999999999</v>
      </c>
      <c r="G13" s="158">
        <v>1.9352636000000001</v>
      </c>
      <c r="H13" s="158">
        <v>1.9496407999999998</v>
      </c>
      <c r="I13" s="158">
        <v>1.964018</v>
      </c>
      <c r="J13" s="163">
        <v>1.9732194080000001</v>
      </c>
      <c r="K13" s="158">
        <v>1.9783952</v>
      </c>
      <c r="L13" s="158">
        <v>1.9927724</v>
      </c>
      <c r="M13" s="158">
        <v>2.0071496</v>
      </c>
      <c r="N13" s="158">
        <v>2.0215268000000002</v>
      </c>
      <c r="O13" s="158">
        <v>2.0359039999999999</v>
      </c>
      <c r="P13" s="158">
        <v>2.0502812000000001</v>
      </c>
      <c r="Q13" s="158">
        <v>2.0646583999999999</v>
      </c>
      <c r="R13" s="158">
        <v>2.0790356000000001</v>
      </c>
      <c r="S13" s="57"/>
      <c r="T13" s="57"/>
      <c r="U13" s="57"/>
      <c r="V13" s="57"/>
      <c r="W13" s="57"/>
      <c r="X13" s="57"/>
      <c r="Y13" s="57"/>
    </row>
    <row r="14" spans="4:25" ht="15" x14ac:dyDescent="0.25">
      <c r="D14" s="177">
        <v>3.7499999999999999E-2</v>
      </c>
      <c r="E14" s="158">
        <v>1.9171357999999998</v>
      </c>
      <c r="F14" s="158">
        <v>1.931513</v>
      </c>
      <c r="G14" s="158">
        <v>1.9458902</v>
      </c>
      <c r="H14" s="158">
        <v>1.9602674</v>
      </c>
      <c r="I14" s="158">
        <v>1.9746446000000002</v>
      </c>
      <c r="J14" s="163">
        <v>1.9838460080000002</v>
      </c>
      <c r="K14" s="158">
        <v>1.9890218</v>
      </c>
      <c r="L14" s="158">
        <v>2.0033990000000004</v>
      </c>
      <c r="M14" s="158">
        <v>2.0177762000000001</v>
      </c>
      <c r="N14" s="158">
        <v>2.0321534000000003</v>
      </c>
      <c r="O14" s="158">
        <v>2.0465306000000001</v>
      </c>
      <c r="P14" s="158">
        <v>2.0609078000000003</v>
      </c>
      <c r="Q14" s="158">
        <v>2.075285</v>
      </c>
      <c r="R14" s="158">
        <v>2.0896622000000002</v>
      </c>
      <c r="S14" s="57"/>
      <c r="T14" s="57"/>
      <c r="U14" s="57"/>
      <c r="V14" s="57"/>
      <c r="W14" s="57"/>
      <c r="X14" s="57"/>
      <c r="Y14" s="57"/>
    </row>
    <row r="15" spans="4:25" ht="15" x14ac:dyDescent="0.25">
      <c r="D15" s="177">
        <v>3.7999999999999999E-2</v>
      </c>
      <c r="E15" s="158">
        <v>1.9277624</v>
      </c>
      <c r="F15" s="158">
        <v>1.9421396</v>
      </c>
      <c r="G15" s="158">
        <v>1.9565167999999999</v>
      </c>
      <c r="H15" s="158">
        <v>1.9708939999999999</v>
      </c>
      <c r="I15" s="158">
        <v>1.9852711999999999</v>
      </c>
      <c r="J15" s="163">
        <v>1.9944726079999999</v>
      </c>
      <c r="K15" s="158">
        <v>1.9996484000000001</v>
      </c>
      <c r="L15" s="158">
        <v>2.0140256000000001</v>
      </c>
      <c r="M15" s="158">
        <v>2.0284027999999998</v>
      </c>
      <c r="N15" s="158">
        <v>2.04278</v>
      </c>
      <c r="O15" s="158">
        <v>2.0571572000000002</v>
      </c>
      <c r="P15" s="158">
        <v>2.0715344</v>
      </c>
      <c r="Q15" s="158">
        <v>2.0859116000000002</v>
      </c>
      <c r="R15" s="158">
        <v>2.1002888</v>
      </c>
      <c r="S15" s="57"/>
      <c r="T15" s="57"/>
      <c r="U15" s="57"/>
      <c r="V15" s="57"/>
      <c r="W15" s="57"/>
      <c r="X15" s="57"/>
      <c r="Y15" s="57"/>
    </row>
    <row r="16" spans="4:25" ht="15" x14ac:dyDescent="0.25">
      <c r="D16" s="176">
        <f>'חשבון רכיבים'!C6</f>
        <v>3.8260000000000002E-2</v>
      </c>
      <c r="E16" s="163">
        <v>1.933288232</v>
      </c>
      <c r="F16" s="163">
        <v>1.9476654320000002</v>
      </c>
      <c r="G16" s="163">
        <v>1.962042632</v>
      </c>
      <c r="H16" s="163">
        <v>1.9764198320000002</v>
      </c>
      <c r="I16" s="163">
        <v>1.9907970320000001</v>
      </c>
      <c r="J16" s="178">
        <v>1.9999984400000002</v>
      </c>
      <c r="K16" s="163">
        <v>2.0051742320000003</v>
      </c>
      <c r="L16" s="163">
        <v>2.0195514320000001</v>
      </c>
      <c r="M16" s="163">
        <v>2.0339286319999998</v>
      </c>
      <c r="N16" s="163">
        <v>2.048305832</v>
      </c>
      <c r="O16" s="163">
        <v>2.0626830320000002</v>
      </c>
      <c r="P16" s="163">
        <v>2.077060232</v>
      </c>
      <c r="Q16" s="163">
        <v>2.0914374320000002</v>
      </c>
      <c r="R16" s="163">
        <v>2.105814632</v>
      </c>
      <c r="S16" s="57"/>
      <c r="T16" s="57"/>
      <c r="U16" s="57"/>
      <c r="V16" s="57"/>
      <c r="W16" s="57"/>
      <c r="X16" s="57"/>
      <c r="Y16" s="57"/>
    </row>
    <row r="17" spans="4:25" ht="15" x14ac:dyDescent="0.25">
      <c r="D17" s="177">
        <v>3.85E-2</v>
      </c>
      <c r="E17" s="158">
        <v>1.9383889999999999</v>
      </c>
      <c r="F17" s="158">
        <v>1.9527661999999999</v>
      </c>
      <c r="G17" s="158">
        <v>1.9671434000000001</v>
      </c>
      <c r="H17" s="158">
        <v>1.9815205999999999</v>
      </c>
      <c r="I17" s="158">
        <v>1.9958978000000001</v>
      </c>
      <c r="J17" s="163">
        <v>2.0050992080000003</v>
      </c>
      <c r="K17" s="158">
        <v>2.010275</v>
      </c>
      <c r="L17" s="158">
        <v>2.0246522000000002</v>
      </c>
      <c r="M17" s="158">
        <v>2.0390294</v>
      </c>
      <c r="N17" s="158">
        <v>2.0534066000000002</v>
      </c>
      <c r="O17" s="158">
        <v>2.0677837999999999</v>
      </c>
      <c r="P17" s="158">
        <v>2.0821610000000002</v>
      </c>
      <c r="Q17" s="158">
        <v>2.0965381999999999</v>
      </c>
      <c r="R17" s="158">
        <v>2.1109154000000001</v>
      </c>
      <c r="S17" s="57"/>
      <c r="T17" s="57"/>
      <c r="U17" s="57"/>
      <c r="V17" s="57"/>
      <c r="W17" s="57"/>
      <c r="X17" s="57"/>
      <c r="Y17" s="57"/>
    </row>
    <row r="18" spans="4:25" ht="15" x14ac:dyDescent="0.25">
      <c r="D18" s="177">
        <v>3.95E-2</v>
      </c>
      <c r="E18" s="158">
        <v>1.9596422</v>
      </c>
      <c r="F18" s="158">
        <v>1.9740194</v>
      </c>
      <c r="G18" s="158">
        <v>1.9883966</v>
      </c>
      <c r="H18" s="158">
        <v>2.0027737999999999</v>
      </c>
      <c r="I18" s="158">
        <v>2.0171510000000001</v>
      </c>
      <c r="J18" s="163">
        <v>2.0263524080000002</v>
      </c>
      <c r="K18" s="158">
        <v>2.0315282000000003</v>
      </c>
      <c r="L18" s="158">
        <v>2.0459054000000001</v>
      </c>
      <c r="M18" s="158">
        <v>2.0602825999999999</v>
      </c>
      <c r="N18" s="158">
        <v>2.0746598000000001</v>
      </c>
      <c r="O18" s="158">
        <v>2.0890370000000003</v>
      </c>
      <c r="P18" s="158">
        <v>2.1034142</v>
      </c>
      <c r="Q18" s="158">
        <v>2.1177914000000002</v>
      </c>
      <c r="R18" s="158">
        <v>2.1321686</v>
      </c>
      <c r="S18" s="57"/>
      <c r="T18" s="57"/>
      <c r="U18" s="57"/>
      <c r="V18" s="57"/>
      <c r="W18" s="57"/>
      <c r="X18" s="57"/>
      <c r="Y18" s="57"/>
    </row>
    <row r="19" spans="4:25" ht="15" x14ac:dyDescent="0.25">
      <c r="D19" s="177">
        <v>4.0500000000000001E-2</v>
      </c>
      <c r="E19" s="158">
        <v>1.9846953999999999</v>
      </c>
      <c r="F19" s="158">
        <v>1.9990726000000001</v>
      </c>
      <c r="G19" s="158">
        <v>2.0134498000000001</v>
      </c>
      <c r="H19" s="158">
        <v>2.0278270000000003</v>
      </c>
      <c r="I19" s="158">
        <v>2.0422042000000005</v>
      </c>
      <c r="J19" s="163">
        <v>2.0514056080000005</v>
      </c>
      <c r="K19" s="158">
        <v>2.0565814000000002</v>
      </c>
      <c r="L19" s="158">
        <v>2.0709586000000004</v>
      </c>
      <c r="M19" s="158">
        <v>2.0853358000000002</v>
      </c>
      <c r="N19" s="158">
        <v>2.0997130000000004</v>
      </c>
      <c r="O19" s="158">
        <v>2.1140902000000001</v>
      </c>
      <c r="P19" s="158">
        <v>2.1284674000000003</v>
      </c>
      <c r="Q19" s="158">
        <v>2.1428446000000001</v>
      </c>
      <c r="R19" s="158">
        <v>2.1572218000000003</v>
      </c>
      <c r="S19" s="57"/>
      <c r="T19" s="57"/>
      <c r="U19" s="57"/>
      <c r="V19" s="57"/>
      <c r="W19" s="57"/>
      <c r="X19" s="57"/>
      <c r="Y19" s="57"/>
    </row>
    <row r="20" spans="4:25" ht="15" x14ac:dyDescent="0.25">
      <c r="D20" s="177">
        <v>4.1500000000000002E-2</v>
      </c>
      <c r="E20" s="158">
        <v>2.0135486</v>
      </c>
      <c r="F20" s="158">
        <v>2.0279258000000002</v>
      </c>
      <c r="G20" s="158">
        <v>2.0423030000000004</v>
      </c>
      <c r="H20" s="158">
        <v>2.0566802000000002</v>
      </c>
      <c r="I20" s="158">
        <v>2.0710574000000004</v>
      </c>
      <c r="J20" s="163">
        <v>2.0802588080000004</v>
      </c>
      <c r="K20" s="158">
        <v>2.0854346000000001</v>
      </c>
      <c r="L20" s="158">
        <v>2.0998118000000003</v>
      </c>
      <c r="M20" s="158">
        <v>2.1141890000000001</v>
      </c>
      <c r="N20" s="158">
        <v>2.1285662000000003</v>
      </c>
      <c r="O20" s="158">
        <v>2.1429434000000001</v>
      </c>
      <c r="P20" s="158">
        <v>2.1573206000000003</v>
      </c>
      <c r="Q20" s="158">
        <v>2.1716978</v>
      </c>
      <c r="R20" s="158">
        <v>2.1860750000000002</v>
      </c>
      <c r="S20" s="57"/>
      <c r="T20" s="57"/>
      <c r="U20" s="57"/>
      <c r="V20" s="57"/>
      <c r="W20" s="57"/>
      <c r="X20" s="57"/>
      <c r="Y20" s="57"/>
    </row>
    <row r="21" spans="4:25" ht="15" x14ac:dyDescent="0.25">
      <c r="D21" s="177">
        <v>4.2500000000000003E-2</v>
      </c>
      <c r="E21" s="158">
        <v>2.0462018000000004</v>
      </c>
      <c r="F21" s="158">
        <v>2.0605790000000006</v>
      </c>
      <c r="G21" s="158">
        <v>2.0749562000000004</v>
      </c>
      <c r="H21" s="158">
        <v>2.0893334000000006</v>
      </c>
      <c r="I21" s="158">
        <v>2.1037106000000003</v>
      </c>
      <c r="J21" s="163">
        <v>2.1129120080000003</v>
      </c>
      <c r="K21" s="158">
        <v>2.1180878000000005</v>
      </c>
      <c r="L21" s="158">
        <v>2.1324650000000003</v>
      </c>
      <c r="M21" s="158">
        <v>2.1468422</v>
      </c>
      <c r="N21" s="158">
        <v>2.1612194000000002</v>
      </c>
      <c r="O21" s="158">
        <v>2.1755966000000004</v>
      </c>
      <c r="P21" s="158">
        <v>2.1899738000000002</v>
      </c>
      <c r="Q21" s="158">
        <v>2.2043510000000004</v>
      </c>
      <c r="R21" s="158">
        <v>2.2187282000000002</v>
      </c>
      <c r="S21" s="57"/>
      <c r="T21" s="57"/>
      <c r="U21" s="57"/>
      <c r="V21" s="57"/>
      <c r="W21" s="57"/>
      <c r="X21" s="57"/>
      <c r="Y21" s="57"/>
    </row>
    <row r="22" spans="4:25" ht="15" x14ac:dyDescent="0.25">
      <c r="D22" s="177">
        <v>4.3499999999999997E-2</v>
      </c>
      <c r="E22" s="158">
        <v>2.0788549999999999</v>
      </c>
      <c r="F22" s="158">
        <v>2.0932322000000001</v>
      </c>
      <c r="G22" s="158">
        <v>2.1076093999999999</v>
      </c>
      <c r="H22" s="158">
        <v>2.1219866000000001</v>
      </c>
      <c r="I22" s="158">
        <v>2.1363637999999998</v>
      </c>
      <c r="J22" s="163">
        <v>2.1455652079999998</v>
      </c>
      <c r="K22" s="158">
        <v>2.150741</v>
      </c>
      <c r="L22" s="158">
        <v>2.1651181999999998</v>
      </c>
      <c r="M22" s="158">
        <v>2.1794953999999995</v>
      </c>
      <c r="N22" s="158">
        <v>2.1938725999999997</v>
      </c>
      <c r="O22" s="158">
        <v>2.2082497999999999</v>
      </c>
      <c r="P22" s="158">
        <v>2.2226269999999997</v>
      </c>
      <c r="Q22" s="158">
        <v>2.2370041999999999</v>
      </c>
      <c r="R22" s="158">
        <v>2.2513814000000001</v>
      </c>
      <c r="S22" s="57"/>
      <c r="T22" s="57"/>
      <c r="U22" s="57"/>
      <c r="V22" s="57"/>
      <c r="W22" s="57"/>
      <c r="X22" s="57"/>
      <c r="Y22" s="57"/>
    </row>
    <row r="23" spans="4:25" x14ac:dyDescent="0.2"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4:25" x14ac:dyDescent="0.2"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4:25" x14ac:dyDescent="0.2"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4:25" x14ac:dyDescent="0.2"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4:25" x14ac:dyDescent="0.2">
      <c r="D27" s="60"/>
      <c r="E27" s="61" t="s">
        <v>7</v>
      </c>
      <c r="F27" s="57"/>
      <c r="G27" s="57"/>
      <c r="H27" s="57"/>
      <c r="I27" s="57"/>
      <c r="J27" s="57"/>
      <c r="K27" s="57"/>
      <c r="L27" s="57"/>
      <c r="M27" s="57"/>
      <c r="N27" s="57"/>
      <c r="O27" s="208" t="s">
        <v>126</v>
      </c>
      <c r="P27" s="208"/>
      <c r="Q27" s="208"/>
      <c r="R27" s="208"/>
      <c r="S27" s="57"/>
      <c r="T27" s="208" t="s">
        <v>127</v>
      </c>
      <c r="U27" s="208"/>
      <c r="V27" s="208"/>
      <c r="W27" s="208"/>
      <c r="X27" s="57"/>
      <c r="Y27" s="57"/>
    </row>
    <row r="28" spans="4:25" ht="42.75" x14ac:dyDescent="0.2">
      <c r="D28" s="60" t="s">
        <v>0</v>
      </c>
      <c r="E28" s="62">
        <v>3.8260000000000002E-2</v>
      </c>
      <c r="F28" s="57"/>
      <c r="G28" s="57"/>
      <c r="H28" s="57"/>
      <c r="I28" s="60"/>
      <c r="J28" s="60"/>
      <c r="K28" s="179" t="s">
        <v>147</v>
      </c>
      <c r="L28" s="57"/>
      <c r="M28" s="57"/>
      <c r="N28" s="57"/>
      <c r="O28" s="60"/>
      <c r="P28" s="60" t="s">
        <v>128</v>
      </c>
      <c r="Q28" s="60" t="s">
        <v>129</v>
      </c>
      <c r="R28" s="144" t="s">
        <v>170</v>
      </c>
      <c r="S28" s="57"/>
      <c r="T28" s="145"/>
      <c r="U28" s="145"/>
      <c r="V28" s="60" t="s">
        <v>168</v>
      </c>
      <c r="W28" s="146" t="s">
        <v>136</v>
      </c>
      <c r="X28" s="57"/>
      <c r="Y28" s="57"/>
    </row>
    <row r="29" spans="4:25" x14ac:dyDescent="0.2">
      <c r="D29" s="60" t="s">
        <v>1</v>
      </c>
      <c r="E29" s="62">
        <v>3.4320000000000003E-2</v>
      </c>
      <c r="F29" s="57"/>
      <c r="G29" s="57"/>
      <c r="H29" s="57"/>
      <c r="I29" s="60" t="s">
        <v>148</v>
      </c>
      <c r="J29" s="62">
        <v>3.7999999999999999E-2</v>
      </c>
      <c r="K29" s="180">
        <f>J29*E33*E1</f>
        <v>0.80762159999999994</v>
      </c>
      <c r="L29" s="57"/>
      <c r="M29" s="57"/>
      <c r="N29" s="57"/>
      <c r="O29" s="60" t="s">
        <v>165</v>
      </c>
      <c r="P29" s="147">
        <v>3.95E-2</v>
      </c>
      <c r="Q29" s="147">
        <v>4.0500000000000001E-2</v>
      </c>
      <c r="R29" s="148">
        <v>3.8</v>
      </c>
      <c r="S29" s="57"/>
      <c r="T29" s="181">
        <f>MAX(0,$U$33-P29)</f>
        <v>0</v>
      </c>
      <c r="U29" s="182">
        <f>T29-T30</f>
        <v>0</v>
      </c>
      <c r="V29" s="147">
        <f>U29</f>
        <v>0</v>
      </c>
      <c r="W29" s="183">
        <f>V29*R29</f>
        <v>0</v>
      </c>
      <c r="X29" s="57"/>
      <c r="Y29" s="57"/>
    </row>
    <row r="30" spans="4:25" x14ac:dyDescent="0.2">
      <c r="D30" s="60" t="s">
        <v>2</v>
      </c>
      <c r="E30" s="63">
        <v>0.42499999999999999</v>
      </c>
      <c r="F30" s="57"/>
      <c r="G30" s="57"/>
      <c r="H30" s="57"/>
      <c r="I30" s="60" t="s">
        <v>146</v>
      </c>
      <c r="J30" s="62">
        <v>3.4500000000000003E-2</v>
      </c>
      <c r="K30" s="180">
        <f>J30*E34*E1</f>
        <v>0.9920268000000001</v>
      </c>
      <c r="L30" s="57"/>
      <c r="M30" s="57"/>
      <c r="N30" s="57"/>
      <c r="O30" s="60" t="s">
        <v>169</v>
      </c>
      <c r="P30" s="147">
        <v>4.0500000000000001E-2</v>
      </c>
      <c r="Q30" s="147">
        <v>4.1500000000000002E-2</v>
      </c>
      <c r="R30" s="148">
        <v>7.6</v>
      </c>
      <c r="S30" s="57"/>
      <c r="T30" s="181">
        <f>MAX(0,$U$33-P30)</f>
        <v>0</v>
      </c>
      <c r="U30" s="182">
        <f t="shared" ref="U30" si="0">T30-T31</f>
        <v>0</v>
      </c>
      <c r="V30" s="147">
        <f t="shared" ref="V30:V31" si="1">U30</f>
        <v>0</v>
      </c>
      <c r="W30" s="183">
        <f t="shared" ref="W30:W31" si="2">V30*R30</f>
        <v>0</v>
      </c>
      <c r="X30" s="57"/>
      <c r="Y30" s="57"/>
    </row>
    <row r="31" spans="4:25" x14ac:dyDescent="0.2">
      <c r="D31" s="60" t="s">
        <v>3</v>
      </c>
      <c r="E31" s="64">
        <f t="shared" ref="E31" si="3">1-E30</f>
        <v>0.57499999999999996</v>
      </c>
      <c r="F31" s="57"/>
      <c r="G31" s="57"/>
      <c r="H31" s="57"/>
      <c r="I31" s="60" t="s">
        <v>4</v>
      </c>
      <c r="J31" s="60"/>
      <c r="K31" s="180">
        <f>E32*E1</f>
        <v>0.2</v>
      </c>
      <c r="L31" s="57"/>
      <c r="M31" s="57"/>
      <c r="N31" s="57"/>
      <c r="O31" s="60" t="s">
        <v>167</v>
      </c>
      <c r="P31" s="147">
        <v>4.1500000000000002E-2</v>
      </c>
      <c r="Q31" s="60"/>
      <c r="R31" s="148">
        <v>11.399999999999999</v>
      </c>
      <c r="S31" s="57"/>
      <c r="T31" s="181">
        <f>MAX(0,$U$33-P31)</f>
        <v>0</v>
      </c>
      <c r="U31" s="182">
        <f>T31</f>
        <v>0</v>
      </c>
      <c r="V31" s="147">
        <f t="shared" si="1"/>
        <v>0</v>
      </c>
      <c r="W31" s="183">
        <f t="shared" si="2"/>
        <v>0</v>
      </c>
      <c r="X31" s="57"/>
      <c r="Y31" s="57"/>
    </row>
    <row r="32" spans="4:25" ht="15" x14ac:dyDescent="0.25">
      <c r="D32" s="60" t="s">
        <v>4</v>
      </c>
      <c r="E32" s="65">
        <v>0.1</v>
      </c>
      <c r="F32" s="57"/>
      <c r="G32" s="57"/>
      <c r="H32" s="57"/>
      <c r="I32" s="60" t="s">
        <v>149</v>
      </c>
      <c r="J32" s="60"/>
      <c r="K32" s="180">
        <f>W32*IF(E2=1,1,0)</f>
        <v>0</v>
      </c>
      <c r="L32" s="57"/>
      <c r="M32" s="57"/>
      <c r="N32" s="57"/>
      <c r="O32" s="151" t="s">
        <v>145</v>
      </c>
      <c r="P32" s="57"/>
      <c r="Q32" s="57"/>
      <c r="R32" s="57"/>
      <c r="S32" s="57"/>
      <c r="T32" s="60" t="s">
        <v>137</v>
      </c>
      <c r="U32" s="60"/>
      <c r="V32" s="147">
        <f>SUM(V29:V31)</f>
        <v>0</v>
      </c>
      <c r="W32" s="184">
        <f>SUM(W29:W31)</f>
        <v>0</v>
      </c>
      <c r="X32" s="57"/>
      <c r="Y32" s="57"/>
    </row>
    <row r="33" spans="4:25" x14ac:dyDescent="0.2">
      <c r="D33" s="60" t="s">
        <v>5</v>
      </c>
      <c r="E33" s="66">
        <f>ROUND((1-E32)/(E28+E29*E35),4)</f>
        <v>10.6266</v>
      </c>
      <c r="F33" s="57"/>
      <c r="G33" s="57"/>
      <c r="H33" s="57"/>
      <c r="I33" s="60" t="s">
        <v>98</v>
      </c>
      <c r="J33" s="60"/>
      <c r="K33" s="180">
        <f>SUM(K29:K32)</f>
        <v>1.9996484000000001</v>
      </c>
      <c r="L33" s="57"/>
      <c r="M33" s="57"/>
      <c r="N33" s="57"/>
      <c r="O33" s="57"/>
      <c r="P33" s="57"/>
      <c r="Q33" s="57"/>
      <c r="R33" s="57"/>
      <c r="S33" s="57"/>
      <c r="T33" s="60" t="s">
        <v>131</v>
      </c>
      <c r="U33" s="185">
        <f>J29</f>
        <v>3.7999999999999999E-2</v>
      </c>
      <c r="V33" s="60"/>
      <c r="W33" s="60"/>
      <c r="X33" s="57"/>
      <c r="Y33" s="57"/>
    </row>
    <row r="34" spans="4:25" x14ac:dyDescent="0.2">
      <c r="D34" s="60" t="s">
        <v>6</v>
      </c>
      <c r="E34" s="66">
        <f>ROUND(E33*E35,4)</f>
        <v>14.3772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4:25" x14ac:dyDescent="0.2">
      <c r="D35" s="60" t="s">
        <v>8</v>
      </c>
      <c r="E35" s="67">
        <f>E31/E30</f>
        <v>1.3529411764705881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4:25" x14ac:dyDescent="0.2"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4:25" x14ac:dyDescent="0.2"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4:25" x14ac:dyDescent="0.2"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4:25" x14ac:dyDescent="0.2"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4:25" x14ac:dyDescent="0.2"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4:25" x14ac:dyDescent="0.2"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4:25" x14ac:dyDescent="0.2"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4:25" x14ac:dyDescent="0.2"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4:25" x14ac:dyDescent="0.2"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4:25" x14ac:dyDescent="0.2"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4:25" x14ac:dyDescent="0.2"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4:25" x14ac:dyDescent="0.2"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4:25" x14ac:dyDescent="0.2"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4:25" x14ac:dyDescent="0.2"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4:25" x14ac:dyDescent="0.2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4:25" x14ac:dyDescent="0.2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4:25" x14ac:dyDescent="0.2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4:25" x14ac:dyDescent="0.2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4:25" x14ac:dyDescent="0.2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4:25" x14ac:dyDescent="0.2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4:25" x14ac:dyDescent="0.2"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4:25" x14ac:dyDescent="0.2"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4:25" x14ac:dyDescent="0.2"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4:25" x14ac:dyDescent="0.2"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4:25" x14ac:dyDescent="0.2"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4:25" x14ac:dyDescent="0.2"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</sheetData>
  <sheetProtection password="CCDD" sheet="1" objects="1" scenarios="1" selectLockedCells="1"/>
  <mergeCells count="3">
    <mergeCell ref="O27:R27"/>
    <mergeCell ref="T27:W27"/>
    <mergeCell ref="E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RowHeight="14.25" x14ac:dyDescent="0.2"/>
  <cols>
    <col min="2" max="2" width="10.75" customWidth="1"/>
    <col min="3" max="3" width="10.25" customWidth="1"/>
    <col min="4" max="4" width="9.375" customWidth="1"/>
    <col min="5" max="5" width="9.875" bestFit="1" customWidth="1"/>
    <col min="6" max="6" width="8" customWidth="1"/>
    <col min="7" max="7" width="11.125" customWidth="1"/>
    <col min="8" max="8" width="9" customWidth="1"/>
    <col min="9" max="9" width="8.5" customWidth="1"/>
    <col min="10" max="10" width="9.875" bestFit="1" customWidth="1"/>
  </cols>
  <sheetData>
    <row r="1" spans="2:16" x14ac:dyDescent="0.2">
      <c r="C1" t="s">
        <v>177</v>
      </c>
    </row>
    <row r="2" spans="2:16" ht="57" x14ac:dyDescent="0.2">
      <c r="B2" s="227"/>
      <c r="C2" s="228" t="s">
        <v>161</v>
      </c>
      <c r="D2" s="228" t="s">
        <v>146</v>
      </c>
      <c r="E2" s="228" t="s">
        <v>160</v>
      </c>
      <c r="F2" s="228" t="s">
        <v>148</v>
      </c>
      <c r="G2" s="228" t="s">
        <v>162</v>
      </c>
      <c r="H2" s="228" t="s">
        <v>142</v>
      </c>
      <c r="I2" s="228" t="s">
        <v>173</v>
      </c>
      <c r="J2" s="228" t="s">
        <v>174</v>
      </c>
      <c r="K2" s="228" t="s">
        <v>175</v>
      </c>
      <c r="L2" s="228" t="s">
        <v>176</v>
      </c>
      <c r="M2" s="228" t="s">
        <v>163</v>
      </c>
      <c r="N2" s="228" t="s">
        <v>164</v>
      </c>
      <c r="O2" s="221"/>
      <c r="P2" s="221"/>
    </row>
    <row r="3" spans="2:16" x14ac:dyDescent="0.2">
      <c r="B3" s="227" t="s">
        <v>35</v>
      </c>
      <c r="C3" s="243">
        <v>82585</v>
      </c>
      <c r="D3" s="244">
        <v>3.1899999999999998E-2</v>
      </c>
      <c r="E3" s="231">
        <f>D3*C3</f>
        <v>2634.4614999999999</v>
      </c>
      <c r="F3" s="244">
        <v>3.7900000000000003E-2</v>
      </c>
      <c r="G3" s="231">
        <f>F3*C3</f>
        <v>3129.9715000000001</v>
      </c>
      <c r="H3" s="232">
        <f>'חלב עודף והעברה בין עונות'!H44</f>
        <v>1.96</v>
      </c>
      <c r="I3" s="232">
        <f>H3*(D3-'חשבון רכיבים'!$C$7)*'חשבון רכיבים'!$C$12</f>
        <v>-6.8193935040000153E-2</v>
      </c>
      <c r="J3" s="229">
        <f>I3*C3</f>
        <v>-5631.7961252784125</v>
      </c>
      <c r="K3" s="232">
        <f>H3*(F3-'חשבון רכיבים'!$C$6)*'חשבון רכיבים'!$C$11</f>
        <v>-7.4981289599999829E-3</v>
      </c>
      <c r="L3" s="229">
        <f>K3*C3</f>
        <v>-619.23298016159856</v>
      </c>
      <c r="M3" s="231">
        <f>I3+K3</f>
        <v>-7.5692064000000142E-2</v>
      </c>
      <c r="N3" s="233">
        <f>J3+L3</f>
        <v>-6251.0291054400113</v>
      </c>
      <c r="O3" s="219"/>
      <c r="P3" s="220"/>
    </row>
    <row r="4" spans="2:16" x14ac:dyDescent="0.2">
      <c r="B4" s="227" t="s">
        <v>36</v>
      </c>
      <c r="C4" s="243">
        <v>80512</v>
      </c>
      <c r="D4" s="244">
        <v>3.4099999999999998E-2</v>
      </c>
      <c r="E4" s="231">
        <f t="shared" ref="E4:E14" si="0">D4*C4</f>
        <v>2745.4591999999998</v>
      </c>
      <c r="F4" s="244">
        <v>4.0500000000000001E-2</v>
      </c>
      <c r="G4" s="231">
        <f t="shared" ref="G4:G14" si="1">F4*C4</f>
        <v>3260.7359999999999</v>
      </c>
      <c r="H4" s="232">
        <f>'חלב עודף והעברה בין עונות'!H45</f>
        <v>1.96</v>
      </c>
      <c r="I4" s="232">
        <f>H4*(D4-'חשבון רכיבים'!$C$7)*'חשבון רכיבים'!$C$12</f>
        <v>-6.1994486400001386E-3</v>
      </c>
      <c r="J4" s="229">
        <f t="shared" ref="J4:J14" si="2">I4*C4</f>
        <v>-499.13000890369113</v>
      </c>
      <c r="K4" s="232">
        <f>H4*(F4-'חשבון רכיבים'!$C$6)*'חשבון רכיבים'!$C$11</f>
        <v>4.6655024639999973E-2</v>
      </c>
      <c r="L4" s="229">
        <f t="shared" ref="L4:L14" si="3">K4*C4</f>
        <v>3756.289343815678</v>
      </c>
      <c r="M4" s="231">
        <f t="shared" ref="M4:M15" si="4">I4+K4</f>
        <v>4.0455575999999834E-2</v>
      </c>
      <c r="N4" s="233">
        <f t="shared" ref="N4:N14" si="5">J4+L4</f>
        <v>3257.1593349119867</v>
      </c>
      <c r="O4" s="219"/>
      <c r="P4" s="220"/>
    </row>
    <row r="5" spans="2:16" x14ac:dyDescent="0.2">
      <c r="B5" s="227" t="s">
        <v>37</v>
      </c>
      <c r="C5" s="243">
        <v>95148</v>
      </c>
      <c r="D5" s="244">
        <v>3.5099999999999999E-2</v>
      </c>
      <c r="E5" s="231">
        <f t="shared" si="0"/>
        <v>3339.6947999999998</v>
      </c>
      <c r="F5" s="244">
        <v>4.1700000000000001E-2</v>
      </c>
      <c r="G5" s="231">
        <f t="shared" si="1"/>
        <v>3967.6716000000001</v>
      </c>
      <c r="H5" s="232">
        <f>'חלב עודף והעברה בין עונות'!H46</f>
        <v>1.96</v>
      </c>
      <c r="I5" s="232">
        <f>H5*(D5-'חשבון רכיבים'!$C$7)*'חשבון רכיבים'!$C$12</f>
        <v>2.1979863359999886E-2</v>
      </c>
      <c r="J5" s="229">
        <f t="shared" si="2"/>
        <v>2091.3400389772692</v>
      </c>
      <c r="K5" s="232">
        <f>H5*(F5-'חשבון רכיבים'!$C$6)*'חשבון רכיבים'!$C$11</f>
        <v>7.1648787839999964E-2</v>
      </c>
      <c r="L5" s="229">
        <f t="shared" si="3"/>
        <v>6817.2388654003162</v>
      </c>
      <c r="M5" s="231">
        <f t="shared" si="4"/>
        <v>9.3628651199999857E-2</v>
      </c>
      <c r="N5" s="233">
        <f t="shared" si="5"/>
        <v>8908.5789043775858</v>
      </c>
      <c r="O5" s="219"/>
      <c r="P5" s="220"/>
    </row>
    <row r="6" spans="2:16" x14ac:dyDescent="0.2">
      <c r="B6" s="227" t="s">
        <v>38</v>
      </c>
      <c r="C6" s="243">
        <v>92164</v>
      </c>
      <c r="D6" s="244">
        <v>3.4700000000000002E-2</v>
      </c>
      <c r="E6" s="231">
        <f t="shared" si="0"/>
        <v>3198.0907999999999</v>
      </c>
      <c r="F6" s="244">
        <v>4.1300000000000003E-2</v>
      </c>
      <c r="G6" s="231">
        <f t="shared" si="1"/>
        <v>3806.3732000000005</v>
      </c>
      <c r="H6" s="232">
        <f>'חלב עודף והעברה בין עונות'!H47</f>
        <v>1.99</v>
      </c>
      <c r="I6" s="232">
        <f>H6*(D6-'חשבון רכיבים'!$C$7)*'חשבון רכיבים'!$C$12</f>
        <v>1.0872038639999955E-2</v>
      </c>
      <c r="J6" s="229">
        <f t="shared" si="2"/>
        <v>1002.0105692169558</v>
      </c>
      <c r="K6" s="232">
        <f>H6*(F6-'חשבון רכיבים'!$C$6)*'חשבון רכיבים'!$C$11</f>
        <v>6.4286679360000029E-2</v>
      </c>
      <c r="L6" s="229">
        <f t="shared" si="3"/>
        <v>5924.9175165350425</v>
      </c>
      <c r="M6" s="231">
        <f t="shared" si="4"/>
        <v>7.5158717999999985E-2</v>
      </c>
      <c r="N6" s="233">
        <f t="shared" si="5"/>
        <v>6926.928085751998</v>
      </c>
      <c r="O6" s="219"/>
      <c r="P6" s="220"/>
    </row>
    <row r="7" spans="2:16" x14ac:dyDescent="0.2">
      <c r="B7" s="227" t="s">
        <v>39</v>
      </c>
      <c r="C7" s="243">
        <v>101739</v>
      </c>
      <c r="D7" s="244">
        <v>3.6700000000000003E-2</v>
      </c>
      <c r="E7" s="231">
        <f t="shared" si="0"/>
        <v>3733.8213000000005</v>
      </c>
      <c r="F7" s="244">
        <v>4.36E-2</v>
      </c>
      <c r="G7" s="231">
        <f t="shared" si="1"/>
        <v>4435.8203999999996</v>
      </c>
      <c r="H7" s="232">
        <f>'חלב עודף והעברה בין עונות'!H48</f>
        <v>1.99</v>
      </c>
      <c r="I7" s="232">
        <f>H7*(D7-'חשבון רכיבים'!$C$7)*'חשבון רכיבים'!$C$12</f>
        <v>6.809329464000001E-2</v>
      </c>
      <c r="J7" s="229">
        <f t="shared" si="2"/>
        <v>6927.7437033789611</v>
      </c>
      <c r="K7" s="232">
        <f>H7*(F7-'חשבון רכיבים'!$C$6)*'חשבון רכיבים'!$C$11</f>
        <v>0.11292462755999995</v>
      </c>
      <c r="L7" s="229">
        <f t="shared" si="3"/>
        <v>11488.838683326834</v>
      </c>
      <c r="M7" s="231">
        <f t="shared" si="4"/>
        <v>0.18101792219999996</v>
      </c>
      <c r="N7" s="233">
        <f t="shared" si="5"/>
        <v>18416.582386705795</v>
      </c>
      <c r="O7" s="219"/>
      <c r="P7" s="220"/>
    </row>
    <row r="8" spans="2:16" x14ac:dyDescent="0.2">
      <c r="B8" s="227" t="s">
        <v>40</v>
      </c>
      <c r="C8" s="243">
        <v>88754</v>
      </c>
      <c r="D8" s="244">
        <v>3.4200000000000001E-2</v>
      </c>
      <c r="E8" s="231">
        <f t="shared" si="0"/>
        <v>3035.3868000000002</v>
      </c>
      <c r="F8" s="244">
        <v>4.07E-2</v>
      </c>
      <c r="G8" s="231">
        <f t="shared" si="1"/>
        <v>3612.2878000000001</v>
      </c>
      <c r="H8" s="232">
        <f>'חלב עודף והעברה בין עונות'!H49</f>
        <v>1.99</v>
      </c>
      <c r="I8" s="232">
        <f>H8*(D8-'חשבון רכיבים'!$C$7)*'חשבון רכיבים'!$C$12</f>
        <v>-3.4332753600000584E-3</v>
      </c>
      <c r="J8" s="229">
        <f t="shared" si="2"/>
        <v>-304.71692130144515</v>
      </c>
      <c r="K8" s="232">
        <f>H8*(F8-'חשבון רכיבים'!$C$6)*'חשבון רכיבים'!$C$11</f>
        <v>5.1598518959999951E-2</v>
      </c>
      <c r="L8" s="229">
        <f t="shared" si="3"/>
        <v>4579.5749517758359</v>
      </c>
      <c r="M8" s="231">
        <f t="shared" si="4"/>
        <v>4.8165243599999893E-2</v>
      </c>
      <c r="N8" s="233">
        <f t="shared" si="5"/>
        <v>4274.8580304743909</v>
      </c>
      <c r="O8" s="219"/>
      <c r="P8" s="220"/>
    </row>
    <row r="9" spans="2:16" x14ac:dyDescent="0.2">
      <c r="B9" s="227" t="s">
        <v>41</v>
      </c>
      <c r="C9" s="243">
        <v>86636</v>
      </c>
      <c r="D9" s="244">
        <v>3.3799999999999997E-2</v>
      </c>
      <c r="E9" s="231">
        <f t="shared" si="0"/>
        <v>2928.2967999999996</v>
      </c>
      <c r="F9" s="244">
        <v>4.02E-2</v>
      </c>
      <c r="G9" s="231">
        <f t="shared" si="1"/>
        <v>3482.7671999999998</v>
      </c>
      <c r="H9" s="232">
        <f>'חלב עודף והעברה בין עונות'!H50</f>
        <v>1.98</v>
      </c>
      <c r="I9" s="232">
        <f>H9*(D9-'חשבון רכיבים'!$C$7)*'חשבון רכיבים'!$C$12</f>
        <v>-1.4802765120000189E-2</v>
      </c>
      <c r="J9" s="229">
        <f t="shared" si="2"/>
        <v>-1282.4523589363364</v>
      </c>
      <c r="K9" s="232">
        <f>H9*(F9-'חשבון רכיבים'!$C$6)*'חשבון רכיבים'!$C$11</f>
        <v>4.0818895919999945E-2</v>
      </c>
      <c r="L9" s="229">
        <f t="shared" si="3"/>
        <v>3536.3858669251154</v>
      </c>
      <c r="M9" s="231">
        <f t="shared" si="4"/>
        <v>2.6016130799999756E-2</v>
      </c>
      <c r="N9" s="233">
        <f t="shared" si="5"/>
        <v>2253.9335079887787</v>
      </c>
      <c r="O9" s="219"/>
      <c r="P9" s="220"/>
    </row>
    <row r="10" spans="2:16" x14ac:dyDescent="0.2">
      <c r="B10" s="227" t="s">
        <v>42</v>
      </c>
      <c r="C10" s="243">
        <v>85162</v>
      </c>
      <c r="D10" s="244">
        <v>3.4700000000000002E-2</v>
      </c>
      <c r="E10" s="231">
        <f t="shared" si="0"/>
        <v>2955.1214</v>
      </c>
      <c r="F10" s="244">
        <v>4.1200000000000001E-2</v>
      </c>
      <c r="G10" s="231">
        <f t="shared" si="1"/>
        <v>3508.6743999999999</v>
      </c>
      <c r="H10" s="232">
        <f>'חלב עודף והעברה בין עונות'!H51</f>
        <v>1.98</v>
      </c>
      <c r="I10" s="232">
        <f>H10*(D10-'חשבון רכיבים'!$C$7)*'חשבון רכיבים'!$C$12</f>
        <v>1.0817405279999954E-2</v>
      </c>
      <c r="J10" s="229">
        <f t="shared" si="2"/>
        <v>921.23186845535611</v>
      </c>
      <c r="K10" s="232">
        <f>H10*(F10-'חשבון רכיבים'!$C$6)*'חשבון רכיבים'!$C$11</f>
        <v>6.1859563919999958E-2</v>
      </c>
      <c r="L10" s="229">
        <f t="shared" si="3"/>
        <v>5268.084182555036</v>
      </c>
      <c r="M10" s="231">
        <f t="shared" si="4"/>
        <v>7.2676969199999913E-2</v>
      </c>
      <c r="N10" s="233">
        <f t="shared" si="5"/>
        <v>6189.3160510103917</v>
      </c>
      <c r="O10" s="219"/>
      <c r="P10" s="220"/>
    </row>
    <row r="11" spans="2:16" x14ac:dyDescent="0.2">
      <c r="B11" s="227" t="s">
        <v>43</v>
      </c>
      <c r="C11" s="243">
        <v>82015</v>
      </c>
      <c r="D11" s="244">
        <v>3.5000000000000003E-2</v>
      </c>
      <c r="E11" s="231">
        <f t="shared" si="0"/>
        <v>2870.5250000000001</v>
      </c>
      <c r="F11" s="244">
        <v>4.1599999999999998E-2</v>
      </c>
      <c r="G11" s="231">
        <f t="shared" si="1"/>
        <v>3411.8240000000001</v>
      </c>
      <c r="H11" s="232">
        <f>'חלב עודף והעברה בין עונות'!H52</f>
        <v>1.98</v>
      </c>
      <c r="I11" s="232">
        <f>H11*(D11-'חשבון רכיבים'!$C$7)*'חשבון רכיבים'!$C$12</f>
        <v>1.9357462079999999E-2</v>
      </c>
      <c r="J11" s="229">
        <f t="shared" si="2"/>
        <v>1587.6022524911998</v>
      </c>
      <c r="K11" s="232">
        <f>H11*(F11-'חשבון רכיבים'!$C$6)*'חשבון רכיבים'!$C$11</f>
        <v>7.027583111999991E-2</v>
      </c>
      <c r="L11" s="229">
        <f t="shared" si="3"/>
        <v>5763.6722893067927</v>
      </c>
      <c r="M11" s="231">
        <f t="shared" si="4"/>
        <v>8.9633293199999908E-2</v>
      </c>
      <c r="N11" s="233">
        <f t="shared" si="5"/>
        <v>7351.2745417979922</v>
      </c>
      <c r="O11" s="219"/>
      <c r="P11" s="220"/>
    </row>
    <row r="12" spans="2:16" x14ac:dyDescent="0.2">
      <c r="B12" s="227" t="s">
        <v>44</v>
      </c>
      <c r="C12" s="243">
        <v>84220</v>
      </c>
      <c r="D12" s="244">
        <v>3.4200000000000001E-2</v>
      </c>
      <c r="E12" s="231">
        <f t="shared" si="0"/>
        <v>2880.3240000000001</v>
      </c>
      <c r="F12" s="244">
        <v>4.07E-2</v>
      </c>
      <c r="G12" s="231">
        <f t="shared" si="1"/>
        <v>3427.7539999999999</v>
      </c>
      <c r="H12" s="232">
        <f>'חלב עודף והעברה בין עונות'!H53</f>
        <v>1.97</v>
      </c>
      <c r="I12" s="232">
        <f>H12*(D12-'חשבון רכיבים'!$C$7)*'חשבון רכיבים'!$C$12</f>
        <v>-3.398770080000058E-3</v>
      </c>
      <c r="J12" s="229">
        <f t="shared" si="2"/>
        <v>-286.2444161376049</v>
      </c>
      <c r="K12" s="232">
        <f>H12*(F12-'חשבון רכיבים'!$C$6)*'חשבון רכיבים'!$C$11</f>
        <v>5.1079940879999952E-2</v>
      </c>
      <c r="L12" s="229">
        <f t="shared" si="3"/>
        <v>4301.9526209135956</v>
      </c>
      <c r="M12" s="231">
        <f t="shared" si="4"/>
        <v>4.7681170799999895E-2</v>
      </c>
      <c r="N12" s="233">
        <f t="shared" si="5"/>
        <v>4015.7082047759909</v>
      </c>
      <c r="O12" s="219"/>
      <c r="P12" s="220"/>
    </row>
    <row r="13" spans="2:16" x14ac:dyDescent="0.2">
      <c r="B13" s="227" t="s">
        <v>45</v>
      </c>
      <c r="C13" s="243">
        <v>87955</v>
      </c>
      <c r="D13" s="244">
        <v>3.5999999999999997E-2</v>
      </c>
      <c r="E13" s="231">
        <f t="shared" si="0"/>
        <v>3166.3799999999997</v>
      </c>
      <c r="F13" s="244">
        <v>4.2700000000000002E-2</v>
      </c>
      <c r="G13" s="231">
        <f t="shared" si="1"/>
        <v>3755.6785</v>
      </c>
      <c r="H13" s="232">
        <f>'חלב עודף והעברה בין עונות'!H54</f>
        <v>1.97</v>
      </c>
      <c r="I13" s="232">
        <f>H13*(D13-'חשבון רכיבים'!$C$7)*'חשבון רכיבים'!$C$12</f>
        <v>4.7582781119999827E-2</v>
      </c>
      <c r="J13" s="229">
        <f t="shared" si="2"/>
        <v>4185.1435134095846</v>
      </c>
      <c r="K13" s="232">
        <f>H13*(F13-'חשבון רכיבים'!$C$6)*'חשבון רכיבים'!$C$11</f>
        <v>9.2948744879999989E-2</v>
      </c>
      <c r="L13" s="229">
        <f t="shared" si="3"/>
        <v>8175.3068559203994</v>
      </c>
      <c r="M13" s="231">
        <f t="shared" si="4"/>
        <v>0.14053152599999982</v>
      </c>
      <c r="N13" s="233">
        <f t="shared" si="5"/>
        <v>12360.450369329985</v>
      </c>
      <c r="O13" s="219"/>
      <c r="P13" s="220"/>
    </row>
    <row r="14" spans="2:16" x14ac:dyDescent="0.2">
      <c r="B14" s="227" t="s">
        <v>46</v>
      </c>
      <c r="C14" s="243">
        <v>98556</v>
      </c>
      <c r="D14" s="244">
        <v>3.7499999999999999E-2</v>
      </c>
      <c r="E14" s="231">
        <f t="shared" si="0"/>
        <v>3695.85</v>
      </c>
      <c r="F14" s="244">
        <v>4.4499999999999998E-2</v>
      </c>
      <c r="G14" s="231">
        <f t="shared" si="1"/>
        <v>4385.7420000000002</v>
      </c>
      <c r="H14" s="232">
        <f>'חלב עודף והעברה בין עונות'!H55</f>
        <v>1.97</v>
      </c>
      <c r="I14" s="232">
        <f>H14*(D14-'חשבון רכיבים'!$C$7)*'חשבון רכיבים'!$C$12</f>
        <v>9.0067407119999873E-2</v>
      </c>
      <c r="J14" s="229">
        <f t="shared" si="2"/>
        <v>8876.6833761187081</v>
      </c>
      <c r="K14" s="232">
        <f>H14*(F14-'חשבון רכיבים'!$C$6)*'חשבון רכיבים'!$C$11</f>
        <v>0.13063066847999991</v>
      </c>
      <c r="L14" s="229">
        <f t="shared" si="3"/>
        <v>12874.43616271487</v>
      </c>
      <c r="M14" s="231">
        <f t="shared" si="4"/>
        <v>0.22069807559999977</v>
      </c>
      <c r="N14" s="233">
        <f t="shared" si="5"/>
        <v>21751.119538833576</v>
      </c>
      <c r="O14" s="219"/>
      <c r="P14" s="220"/>
    </row>
    <row r="15" spans="2:16" ht="15" x14ac:dyDescent="0.25">
      <c r="B15" s="234" t="s">
        <v>159</v>
      </c>
      <c r="C15" s="235">
        <f>SUM(C3:C14)</f>
        <v>1065446</v>
      </c>
      <c r="D15" s="236">
        <f>E15/C15</f>
        <v>3.489938636026603E-2</v>
      </c>
      <c r="E15" s="237">
        <f>SUM(E3:E14)</f>
        <v>37183.411599999999</v>
      </c>
      <c r="F15" s="236">
        <f>G15/C15</f>
        <v>4.1471177891699816E-2</v>
      </c>
      <c r="G15" s="237">
        <f>SUM(G3:G14)</f>
        <v>44185.300600000002</v>
      </c>
      <c r="H15" s="237">
        <f>SUMPRODUCT(H3:H14,C3:C14)/C15</f>
        <v>1.9752642930753881</v>
      </c>
      <c r="I15" s="238">
        <f>J15/C15</f>
        <v>1.6507092327054159E-2</v>
      </c>
      <c r="J15" s="235">
        <f>SUM(J3:J14)</f>
        <v>17587.415491490545</v>
      </c>
      <c r="K15" s="238">
        <f>L15/C15</f>
        <v>6.7452939293993236E-2</v>
      </c>
      <c r="L15" s="235">
        <f>SUM(L3:L14)</f>
        <v>71867.464359027916</v>
      </c>
      <c r="M15" s="237">
        <f t="shared" si="4"/>
        <v>8.3960031621047398E-2</v>
      </c>
      <c r="N15" s="235">
        <f>SUM(N3:N14)</f>
        <v>89454.879850518468</v>
      </c>
      <c r="O15" s="223"/>
      <c r="P15" s="222"/>
    </row>
    <row r="16" spans="2:16" ht="15" x14ac:dyDescent="0.25">
      <c r="B16" s="227" t="s">
        <v>149</v>
      </c>
      <c r="C16" s="227"/>
      <c r="D16" s="230"/>
      <c r="E16" s="230"/>
      <c r="F16" s="230"/>
      <c r="G16" s="227"/>
      <c r="H16" s="227"/>
      <c r="I16" s="227"/>
      <c r="J16" s="227"/>
      <c r="K16" s="227"/>
      <c r="L16" s="227"/>
      <c r="M16" s="238">
        <f>G25</f>
        <v>1.1180951976918596E-2</v>
      </c>
      <c r="N16" s="239">
        <f>M16*C15</f>
        <v>11912.70056000001</v>
      </c>
    </row>
    <row r="17" spans="1:14" ht="15" x14ac:dyDescent="0.25">
      <c r="B17" s="227" t="s">
        <v>172</v>
      </c>
      <c r="C17" s="227"/>
      <c r="D17" s="227"/>
      <c r="E17" s="227"/>
      <c r="F17" s="227"/>
      <c r="G17" s="227"/>
      <c r="H17" s="227"/>
      <c r="I17" s="227"/>
      <c r="J17" s="227"/>
      <c r="K17" s="240">
        <f>L17/C15</f>
        <v>7.8633891270911832E-2</v>
      </c>
      <c r="L17" s="241">
        <f>L15+N16</f>
        <v>83780.164919027928</v>
      </c>
      <c r="M17" s="240">
        <f>SUM(M15:M16)</f>
        <v>9.5140983597965995E-2</v>
      </c>
      <c r="N17" s="242">
        <f>SUM(N15:N16)</f>
        <v>101367.58041051848</v>
      </c>
    </row>
    <row r="20" spans="1:14" x14ac:dyDescent="0.2">
      <c r="B20" s="208" t="s">
        <v>126</v>
      </c>
      <c r="C20" s="208"/>
      <c r="D20" s="208"/>
      <c r="E20" s="208"/>
      <c r="F20" s="208"/>
      <c r="G20" s="208"/>
    </row>
    <row r="21" spans="1:14" ht="28.5" x14ac:dyDescent="0.2">
      <c r="A21" s="145"/>
      <c r="B21" s="60"/>
      <c r="C21" s="60" t="s">
        <v>128</v>
      </c>
      <c r="D21" s="60" t="s">
        <v>129</v>
      </c>
      <c r="E21" s="144" t="s">
        <v>170</v>
      </c>
      <c r="F21" s="144" t="s">
        <v>168</v>
      </c>
      <c r="G21" s="144" t="s">
        <v>171</v>
      </c>
    </row>
    <row r="22" spans="1:14" x14ac:dyDescent="0.2">
      <c r="A22" s="224">
        <f>MAX(0,$C$26-C22)</f>
        <v>1.9711778916998157E-3</v>
      </c>
      <c r="B22" s="60" t="s">
        <v>165</v>
      </c>
      <c r="C22" s="147">
        <v>3.95E-2</v>
      </c>
      <c r="D22" s="147">
        <v>4.0500000000000001E-2</v>
      </c>
      <c r="E22" s="148">
        <v>3.8</v>
      </c>
      <c r="F22" s="182">
        <f>A22-A23</f>
        <v>1.0000000000000009E-3</v>
      </c>
      <c r="G22" s="183">
        <f>F22*E22</f>
        <v>3.800000000000003E-3</v>
      </c>
    </row>
    <row r="23" spans="1:14" x14ac:dyDescent="0.2">
      <c r="A23" s="224">
        <f>MAX(0,$C$26-C23)</f>
        <v>9.7117789169981483E-4</v>
      </c>
      <c r="B23" s="60" t="s">
        <v>169</v>
      </c>
      <c r="C23" s="147">
        <v>4.0500000000000001E-2</v>
      </c>
      <c r="D23" s="147">
        <v>4.1500000000000002E-2</v>
      </c>
      <c r="E23" s="148">
        <v>7.6</v>
      </c>
      <c r="F23" s="182">
        <f>A23-A24</f>
        <v>9.7117789169981483E-4</v>
      </c>
      <c r="G23" s="183">
        <f>F23*E23</f>
        <v>7.3809519769185922E-3</v>
      </c>
    </row>
    <row r="24" spans="1:14" x14ac:dyDescent="0.2">
      <c r="A24" s="224">
        <f>MAX(0,$C$26-C24)</f>
        <v>0</v>
      </c>
      <c r="B24" s="60" t="s">
        <v>167</v>
      </c>
      <c r="C24" s="147">
        <v>4.1500000000000002E-2</v>
      </c>
      <c r="D24" s="60"/>
      <c r="E24" s="148">
        <v>11.399999999999999</v>
      </c>
      <c r="F24" s="182">
        <f>A24</f>
        <v>0</v>
      </c>
      <c r="G24" s="183">
        <f>F24*E24</f>
        <v>0</v>
      </c>
    </row>
    <row r="25" spans="1:14" ht="15" x14ac:dyDescent="0.25">
      <c r="B25" s="60" t="s">
        <v>137</v>
      </c>
      <c r="C25" s="57"/>
      <c r="D25" s="57"/>
      <c r="E25" s="57"/>
      <c r="F25" s="147">
        <f>SUM(F22:F24)</f>
        <v>1.9711778916998157E-3</v>
      </c>
      <c r="G25" s="184">
        <f>SUM(G22:G24)</f>
        <v>1.1180951976918596E-2</v>
      </c>
    </row>
    <row r="26" spans="1:14" x14ac:dyDescent="0.2">
      <c r="B26" s="60" t="s">
        <v>131</v>
      </c>
      <c r="C26" s="185">
        <f>F15</f>
        <v>4.1471177891699816E-2</v>
      </c>
      <c r="G26" s="58"/>
    </row>
    <row r="27" spans="1:14" ht="15" x14ac:dyDescent="0.25">
      <c r="B27" s="226" t="s">
        <v>145</v>
      </c>
      <c r="C27" s="1"/>
      <c r="D27" s="1"/>
      <c r="E27" s="1"/>
    </row>
    <row r="28" spans="1:14" x14ac:dyDescent="0.2">
      <c r="B28" s="225"/>
      <c r="C28" s="225"/>
      <c r="D28" s="225"/>
      <c r="E28" s="225"/>
    </row>
    <row r="29" spans="1:14" x14ac:dyDescent="0.2">
      <c r="B29" s="1"/>
      <c r="C29" s="1"/>
      <c r="D29" s="1"/>
      <c r="E29" s="1"/>
    </row>
    <row r="30" spans="1:14" x14ac:dyDescent="0.2">
      <c r="B30" s="1"/>
      <c r="D30" s="1"/>
      <c r="E30" s="1"/>
    </row>
  </sheetData>
  <sheetProtection password="CCDD" sheet="1" objects="1" scenarios="1" selectLockedCells="1"/>
  <mergeCells count="2">
    <mergeCell ref="B28:E28"/>
    <mergeCell ref="B20:G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חשבון רכיבים</vt:lpstr>
      <vt:lpstr>חלב עודף והעברה בין עונות</vt:lpstr>
      <vt:lpstr>תמריץ לשומן גבוה</vt:lpstr>
      <vt:lpstr>ריכוז רכיבים - כולל תמריץ שומן</vt:lpstr>
      <vt:lpstr>חישוב שנתי</vt:lpstr>
    </vt:vector>
  </TitlesOfParts>
  <Company>Israel Dairy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LIRON</dc:creator>
  <cp:lastModifiedBy>LIRON</cp:lastModifiedBy>
  <dcterms:created xsi:type="dcterms:W3CDTF">2020-11-03T08:36:33Z</dcterms:created>
  <dcterms:modified xsi:type="dcterms:W3CDTF">2021-01-18T12:18:43Z</dcterms:modified>
</cp:coreProperties>
</file>