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4865" windowHeight="7815"/>
  </bookViews>
  <sheets>
    <sheet name="גיליון1" sheetId="1" r:id="rId1"/>
    <sheet name="גיליון2" sheetId="2" r:id="rId2"/>
    <sheet name="גיליון3" sheetId="3" r:id="rId3"/>
  </sheets>
  <calcPr calcId="125725"/>
</workbook>
</file>

<file path=xl/calcChain.xml><?xml version="1.0" encoding="utf-8"?>
<calcChain xmlns="http://schemas.openxmlformats.org/spreadsheetml/2006/main">
  <c r="G28" i="1"/>
  <c r="G27"/>
  <c r="F23"/>
  <c r="G23"/>
  <c r="E28"/>
  <c r="E27"/>
  <c r="C56" l="1"/>
  <c r="G30"/>
  <c r="G29"/>
  <c r="E32"/>
  <c r="D32"/>
  <c r="K38" l="1"/>
  <c r="K39"/>
  <c r="J39"/>
  <c r="J38"/>
  <c r="H15" l="1"/>
  <c r="H12"/>
  <c r="E12"/>
  <c r="F12" s="1"/>
  <c r="G12" s="1"/>
  <c r="E13"/>
  <c r="F13" s="1"/>
  <c r="G13" s="1"/>
  <c r="E14"/>
  <c r="F14" s="1"/>
  <c r="G14" s="1"/>
  <c r="E15"/>
  <c r="F15" s="1"/>
  <c r="E16"/>
  <c r="F16" s="1"/>
  <c r="G16" s="1"/>
  <c r="E17"/>
  <c r="F17" s="1"/>
  <c r="G17" s="1"/>
  <c r="E18"/>
  <c r="F18" s="1"/>
  <c r="G18" s="1"/>
  <c r="E19"/>
  <c r="F19" s="1"/>
  <c r="G19" s="1"/>
  <c r="E20"/>
  <c r="F20" s="1"/>
  <c r="G20" s="1"/>
  <c r="E21"/>
  <c r="F21" s="1"/>
  <c r="G21" s="1"/>
  <c r="E22"/>
  <c r="F22" s="1"/>
  <c r="G22" s="1"/>
  <c r="E11"/>
  <c r="G15" l="1"/>
  <c r="D52" s="1"/>
  <c r="C52"/>
  <c r="H16"/>
  <c r="H13"/>
  <c r="E23"/>
  <c r="F11"/>
  <c r="G11" s="1"/>
  <c r="H17" l="1"/>
  <c r="C51"/>
  <c r="F27"/>
  <c r="D27" s="1"/>
  <c r="H18" l="1"/>
  <c r="G33"/>
  <c r="F42" s="1"/>
  <c r="D51"/>
  <c r="F28"/>
  <c r="H19" l="1"/>
  <c r="D28"/>
  <c r="F29"/>
  <c r="F30" s="1"/>
  <c r="F51"/>
  <c r="E51"/>
  <c r="H20" l="1"/>
  <c r="H21" s="1"/>
  <c r="E29"/>
  <c r="F52"/>
  <c r="E52"/>
  <c r="C57" l="1"/>
  <c r="H22"/>
  <c r="H23" s="1"/>
  <c r="L39"/>
  <c r="D29"/>
  <c r="D30" s="1"/>
  <c r="E30"/>
  <c r="E34"/>
  <c r="L38" l="1"/>
  <c r="K43" s="1"/>
  <c r="L40"/>
  <c r="J44"/>
  <c r="K44"/>
  <c r="J43"/>
  <c r="E39"/>
  <c r="D34"/>
  <c r="E35"/>
  <c r="E36" s="1"/>
  <c r="C58"/>
  <c r="C59" s="1"/>
  <c r="F34" l="1"/>
  <c r="D39"/>
  <c r="F39" s="1"/>
  <c r="E40"/>
  <c r="E41" s="1"/>
  <c r="D35"/>
  <c r="D40" l="1"/>
  <c r="F40" s="1"/>
  <c r="F35"/>
  <c r="F36" s="1"/>
  <c r="D36"/>
  <c r="D41"/>
  <c r="F41" s="1"/>
  <c r="F43" s="1"/>
  <c r="F45" l="1"/>
  <c r="G45" s="1"/>
  <c r="D62"/>
  <c r="F44"/>
  <c r="G44" s="1"/>
</calcChain>
</file>

<file path=xl/comments1.xml><?xml version="1.0" encoding="utf-8"?>
<comments xmlns="http://schemas.openxmlformats.org/spreadsheetml/2006/main">
  <authors>
    <author>liron</author>
  </authors>
  <commentList>
    <comment ref="J34" authorId="0">
      <text>
        <r>
          <rPr>
            <b/>
            <sz val="9"/>
            <color indexed="81"/>
            <rFont val="Tahoma"/>
            <family val="2"/>
          </rPr>
          <t>לא מובטח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4" authorId="0">
      <text>
        <r>
          <rPr>
            <b/>
            <sz val="9"/>
            <color indexed="81"/>
            <rFont val="Tahoma"/>
            <family val="2"/>
          </rPr>
          <t>לא מובטח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<sst xmlns="http://schemas.openxmlformats.org/spreadsheetml/2006/main" count="92" uniqueCount="69">
  <si>
    <t>ליטר</t>
  </si>
  <si>
    <t>רגיל=1 עמקים חמים= 0</t>
  </si>
  <si>
    <t>עמקים חמים</t>
  </si>
  <si>
    <t>רגיל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</si>
  <si>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</si>
  <si>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</si>
  <si>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</si>
  <si>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</si>
  <si>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</si>
  <si>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</si>
  <si>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</si>
  <si>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</si>
  <si>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</si>
  <si>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</si>
  <si>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</si>
  <si>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</si>
  <si>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חורף</t>
  </si>
  <si>
    <t>מכסה</t>
  </si>
  <si>
    <t>ייצור</t>
  </si>
  <si>
    <t>קיץ</t>
  </si>
  <si>
    <t>ס"ה</t>
  </si>
  <si>
    <t>א'</t>
  </si>
  <si>
    <t>ב'</t>
  </si>
  <si>
    <t>עודף</t>
  </si>
  <si>
    <t>תת-ביצוע</t>
  </si>
  <si>
    <t>ינואר-אפריל</t>
  </si>
  <si>
    <t>רפת</t>
  </si>
  <si>
    <t>מחלבה</t>
  </si>
  <si>
    <t>סוג אזור</t>
  </si>
  <si>
    <t>התפלגות</t>
  </si>
  <si>
    <t>מכסה חודשית</t>
  </si>
  <si>
    <t>ייצור חודשי</t>
  </si>
  <si>
    <t>מחיר מטרה ללא היטל ש"ח לליטר</t>
  </si>
  <si>
    <t>אלמונית</t>
  </si>
  <si>
    <t>קנס מיוחד</t>
  </si>
  <si>
    <t>סך קנסות</t>
  </si>
  <si>
    <t>כמות מקסימלית להעברה</t>
  </si>
  <si>
    <t>כמות לקנס</t>
  </si>
  <si>
    <t>כמות לפרס</t>
  </si>
  <si>
    <t>סך פרסים (קנסות)</t>
  </si>
  <si>
    <t>כמות  נטו</t>
  </si>
  <si>
    <t>פרס/קנס ש"ח לליטר</t>
  </si>
  <si>
    <t>העברת חלב בין עונות</t>
  </si>
  <si>
    <t>מדיניות</t>
  </si>
  <si>
    <t>קנסות</t>
  </si>
  <si>
    <t>פלונית</t>
  </si>
  <si>
    <t>חלב עודף</t>
  </si>
  <si>
    <t>רצועה</t>
  </si>
  <si>
    <t>חלב עודף א'</t>
  </si>
  <si>
    <t>חלב עודף ב'</t>
  </si>
  <si>
    <t>מחיר מטרה</t>
  </si>
  <si>
    <t>קנס א'</t>
  </si>
  <si>
    <t>קנס ב'</t>
  </si>
  <si>
    <t>חישוב קנס מיוחד</t>
  </si>
  <si>
    <t>סך קנסות כולל קנס מיוחד</t>
  </si>
  <si>
    <t>סך קנסות לליטר עודף</t>
  </si>
  <si>
    <t>סך קנסות לליטר מיוצר</t>
  </si>
  <si>
    <t>עודף באחוזים</t>
  </si>
  <si>
    <t>מאי - אוקטובר</t>
  </si>
  <si>
    <t>קנס מיוחד 1-4</t>
  </si>
  <si>
    <t>קיץ 5-10</t>
  </si>
  <si>
    <t>חורף 1-4,11,12</t>
  </si>
  <si>
    <t>ליטרים</t>
  </si>
  <si>
    <t>ש"ח (אומדן)</t>
  </si>
  <si>
    <t>קנס חלב עודף כולל העברת חלב בין עונות</t>
  </si>
  <si>
    <t>ש"ח</t>
  </si>
  <si>
    <t>מספר שלילי משמעותו שסך הפרסים גבוהים מהקנסות</t>
  </si>
  <si>
    <t>קנסות (אומדן)</t>
  </si>
  <si>
    <t>רצועה א'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</si>
</sst>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,##0.0000_ ;_ * \-#,##0.0000_ ;_ * &quot;-&quot;??_ ;_ @_ "/>
    <numFmt numFmtId="166" formatCode="_ * #,##0.00000_ ;_ * \-#,##0.00000_ ;_ * &quot;-&quot;??_ ;_ @_ "/>
  </numFmts>
  <fonts count="1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1"/>
      <name val="MS Sans Serif"/>
      <family val="2"/>
      <charset val="177"/>
    </font>
    <font>
      <sz val="11"/>
      <color rgb="FFFF0000"/>
      <name val="Arial"/>
      <family val="2"/>
      <charset val="177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2" fillId="0" borderId="0"/>
  </cellStyleXfs>
  <cellXfs count="109">
    <xf numFmtId="0" fontId="0" fillId="0" borderId="0" xfId="0"/>
    <xf numFmtId="43" fontId="5" fillId="15" borderId="2" xfId="1" applyFont="1" applyFill="1" applyBorder="1" applyProtection="1"/>
    <xf numFmtId="0" fontId="5" fillId="0" borderId="2" xfId="17" applyFont="1" applyBorder="1" applyAlignment="1" applyProtection="1">
      <alignment horizontal="center" wrapText="1"/>
    </xf>
    <xf numFmtId="0" fontId="0" fillId="0" borderId="0" xfId="0" applyBorder="1"/>
    <xf numFmtId="0" fontId="2" fillId="0" borderId="0" xfId="25" applyProtection="1"/>
    <xf numFmtId="43" fontId="0" fillId="0" borderId="0" xfId="0" applyNumberFormat="1"/>
    <xf numFmtId="165" fontId="2" fillId="0" borderId="2" xfId="1" applyNumberFormat="1" applyFont="1" applyBorder="1" applyProtection="1"/>
    <xf numFmtId="165" fontId="2" fillId="16" borderId="2" xfId="1" applyNumberFormat="1" applyFont="1" applyFill="1" applyBorder="1" applyProtection="1"/>
    <xf numFmtId="0" fontId="0" fillId="0" borderId="2" xfId="0" applyBorder="1" applyAlignment="1">
      <alignment horizontal="center"/>
    </xf>
    <xf numFmtId="9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/>
    <xf numFmtId="0" fontId="5" fillId="0" borderId="4" xfId="17" applyFont="1" applyBorder="1" applyAlignment="1" applyProtection="1">
      <alignment horizontal="center"/>
    </xf>
    <xf numFmtId="43" fontId="5" fillId="15" borderId="4" xfId="1" applyFont="1" applyFill="1" applyBorder="1" applyProtection="1"/>
    <xf numFmtId="0" fontId="0" fillId="0" borderId="2" xfId="0" applyBorder="1" applyAlignment="1">
      <alignment wrapText="1"/>
    </xf>
    <xf numFmtId="43" fontId="0" fillId="0" borderId="2" xfId="1" applyFont="1" applyBorder="1"/>
    <xf numFmtId="164" fontId="0" fillId="0" borderId="2" xfId="1" applyNumberFormat="1" applyFont="1" applyBorder="1"/>
    <xf numFmtId="43" fontId="6" fillId="0" borderId="2" xfId="0" applyNumberFormat="1" applyFont="1" applyBorder="1"/>
    <xf numFmtId="164" fontId="6" fillId="0" borderId="2" xfId="1" applyNumberFormat="1" applyFont="1" applyBorder="1"/>
    <xf numFmtId="165" fontId="6" fillId="0" borderId="2" xfId="0" applyNumberFormat="1" applyFont="1" applyBorder="1"/>
    <xf numFmtId="0" fontId="6" fillId="0" borderId="0" xfId="0" applyFont="1"/>
    <xf numFmtId="0" fontId="0" fillId="16" borderId="2" xfId="0" applyFill="1" applyBorder="1" applyAlignment="1">
      <alignment horizontal="center"/>
    </xf>
    <xf numFmtId="43" fontId="0" fillId="16" borderId="2" xfId="1" applyFont="1" applyFill="1" applyBorder="1"/>
    <xf numFmtId="164" fontId="0" fillId="16" borderId="2" xfId="1" applyNumberFormat="1" applyFont="1" applyFill="1" applyBorder="1"/>
    <xf numFmtId="0" fontId="6" fillId="0" borderId="2" xfId="0" applyFont="1" applyBorder="1"/>
    <xf numFmtId="0" fontId="0" fillId="17" borderId="3" xfId="0" applyFill="1" applyBorder="1"/>
    <xf numFmtId="165" fontId="0" fillId="0" borderId="0" xfId="0" applyNumberFormat="1"/>
    <xf numFmtId="166" fontId="0" fillId="0" borderId="0" xfId="0" applyNumberFormat="1"/>
    <xf numFmtId="165" fontId="8" fillId="0" borderId="2" xfId="1" applyNumberFormat="1" applyFont="1" applyBorder="1" applyProtection="1"/>
    <xf numFmtId="165" fontId="9" fillId="16" borderId="2" xfId="1" applyNumberFormat="1" applyFont="1" applyFill="1" applyBorder="1" applyProtection="1"/>
    <xf numFmtId="0" fontId="6" fillId="0" borderId="0" xfId="0" applyFont="1" applyBorder="1" applyAlignment="1">
      <alignment horizontal="center"/>
    </xf>
    <xf numFmtId="43" fontId="6" fillId="0" borderId="0" xfId="0" applyNumberFormat="1" applyFont="1" applyBorder="1"/>
    <xf numFmtId="164" fontId="6" fillId="0" borderId="0" xfId="1" applyNumberFormat="1" applyFont="1" applyBorder="1"/>
    <xf numFmtId="165" fontId="6" fillId="0" borderId="0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9" fontId="7" fillId="0" borderId="2" xfId="0" applyNumberFormat="1" applyFont="1" applyBorder="1"/>
    <xf numFmtId="9" fontId="7" fillId="0" borderId="2" xfId="0" applyNumberFormat="1" applyFont="1" applyBorder="1" applyAlignment="1">
      <alignment horizontal="center"/>
    </xf>
    <xf numFmtId="43" fontId="7" fillId="0" borderId="2" xfId="1" applyFont="1" applyBorder="1"/>
    <xf numFmtId="164" fontId="6" fillId="0" borderId="2" xfId="1" applyNumberFormat="1" applyFont="1" applyBorder="1" applyAlignment="1">
      <alignment horizontal="center"/>
    </xf>
    <xf numFmtId="0" fontId="0" fillId="0" borderId="0" xfId="0" applyFill="1" applyBorder="1"/>
    <xf numFmtId="164" fontId="0" fillId="0" borderId="0" xfId="1" applyNumberFormat="1" applyFont="1" applyFill="1" applyBorder="1"/>
    <xf numFmtId="164" fontId="10" fillId="0" borderId="0" xfId="1" applyNumberFormat="1" applyFont="1" applyFill="1" applyBorder="1"/>
    <xf numFmtId="0" fontId="10" fillId="0" borderId="0" xfId="0" applyFont="1" applyFill="1" applyBorder="1"/>
    <xf numFmtId="0" fontId="7" fillId="0" borderId="0" xfId="0" applyFont="1"/>
    <xf numFmtId="164" fontId="7" fillId="0" borderId="0" xfId="1" applyNumberFormat="1" applyFont="1" applyBorder="1"/>
    <xf numFmtId="164" fontId="7" fillId="0" borderId="0" xfId="0" applyNumberFormat="1" applyFont="1"/>
    <xf numFmtId="9" fontId="7" fillId="0" borderId="0" xfId="0" applyNumberFormat="1" applyFont="1"/>
    <xf numFmtId="9" fontId="7" fillId="0" borderId="0" xfId="0" applyNumberFormat="1" applyFont="1" applyBorder="1"/>
    <xf numFmtId="0" fontId="7" fillId="0" borderId="2" xfId="0" applyFont="1" applyFill="1" applyBorder="1" applyAlignment="1">
      <alignment horizontal="center"/>
    </xf>
    <xf numFmtId="43" fontId="0" fillId="0" borderId="2" xfId="1" applyNumberFormat="1" applyFont="1" applyFill="1" applyBorder="1"/>
    <xf numFmtId="43" fontId="0" fillId="0" borderId="2" xfId="1" applyFont="1" applyFill="1" applyBorder="1"/>
    <xf numFmtId="0" fontId="0" fillId="0" borderId="2" xfId="0" applyFill="1" applyBorder="1"/>
    <xf numFmtId="164" fontId="7" fillId="0" borderId="2" xfId="1" applyNumberFormat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0" fontId="6" fillId="0" borderId="2" xfId="0" applyFont="1" applyFill="1" applyBorder="1"/>
    <xf numFmtId="165" fontId="0" fillId="0" borderId="0" xfId="0" applyNumberForma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9" fontId="7" fillId="0" borderId="0" xfId="0" applyNumberFormat="1" applyFont="1" applyBorder="1" applyAlignment="1">
      <alignment horizontal="center"/>
    </xf>
    <xf numFmtId="9" fontId="6" fillId="0" borderId="0" xfId="2" applyFont="1" applyBorder="1"/>
    <xf numFmtId="165" fontId="7" fillId="0" borderId="2" xfId="0" applyNumberFormat="1" applyFont="1" applyBorder="1"/>
    <xf numFmtId="0" fontId="0" fillId="0" borderId="5" xfId="0" applyFill="1" applyBorder="1" applyAlignment="1">
      <alignment horizontal="center"/>
    </xf>
    <xf numFmtId="43" fontId="6" fillId="0" borderId="5" xfId="0" applyNumberFormat="1" applyFont="1" applyBorder="1"/>
    <xf numFmtId="0" fontId="7" fillId="0" borderId="2" xfId="0" applyFont="1" applyFill="1" applyBorder="1" applyAlignment="1">
      <alignment horizontal="center"/>
    </xf>
    <xf numFmtId="43" fontId="7" fillId="0" borderId="2" xfId="0" applyNumberFormat="1" applyFont="1" applyBorder="1"/>
    <xf numFmtId="10" fontId="7" fillId="0" borderId="2" xfId="2" applyNumberFormat="1" applyFont="1" applyBorder="1"/>
    <xf numFmtId="0" fontId="7" fillId="0" borderId="2" xfId="0" applyFont="1" applyBorder="1" applyAlignment="1">
      <alignment horizontal="center"/>
    </xf>
    <xf numFmtId="43" fontId="6" fillId="0" borderId="2" xfId="1" applyNumberFormat="1" applyFont="1" applyBorder="1"/>
    <xf numFmtId="43" fontId="6" fillId="0" borderId="5" xfId="1" applyNumberFormat="1" applyFont="1" applyBorder="1"/>
    <xf numFmtId="165" fontId="6" fillId="0" borderId="2" xfId="1" applyNumberFormat="1" applyFont="1" applyBorder="1"/>
    <xf numFmtId="164" fontId="10" fillId="16" borderId="2" xfId="1" applyNumberFormat="1" applyFont="1" applyFill="1" applyBorder="1"/>
    <xf numFmtId="0" fontId="0" fillId="18" borderId="2" xfId="0" applyFill="1" applyBorder="1" applyAlignment="1">
      <alignment horizontal="center"/>
    </xf>
    <xf numFmtId="43" fontId="0" fillId="18" borderId="2" xfId="1" applyFont="1" applyFill="1" applyBorder="1"/>
    <xf numFmtId="164" fontId="0" fillId="18" borderId="2" xfId="1" applyNumberFormat="1" applyFont="1" applyFill="1" applyBorder="1"/>
    <xf numFmtId="165" fontId="2" fillId="18" borderId="2" xfId="1" applyNumberFormat="1" applyFont="1" applyFill="1" applyBorder="1" applyProtection="1"/>
    <xf numFmtId="164" fontId="11" fillId="0" borderId="2" xfId="1" applyNumberFormat="1" applyFont="1" applyFill="1" applyBorder="1"/>
    <xf numFmtId="164" fontId="11" fillId="16" borderId="2" xfId="1" applyNumberFormat="1" applyFont="1" applyFill="1" applyBorder="1"/>
    <xf numFmtId="164" fontId="11" fillId="18" borderId="2" xfId="1" applyNumberFormat="1" applyFont="1" applyFill="1" applyBorder="1"/>
    <xf numFmtId="0" fontId="11" fillId="17" borderId="0" xfId="0" applyFont="1" applyFill="1"/>
    <xf numFmtId="164" fontId="0" fillId="0" borderId="0" xfId="0" applyNumberFormat="1"/>
    <xf numFmtId="9" fontId="0" fillId="0" borderId="0" xfId="0" applyNumberFormat="1"/>
    <xf numFmtId="43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/>
    <xf numFmtId="10" fontId="6" fillId="0" borderId="2" xfId="2" applyNumberFormat="1" applyFont="1" applyBorder="1"/>
    <xf numFmtId="164" fontId="6" fillId="0" borderId="4" xfId="1" applyNumberFormat="1" applyFont="1" applyBorder="1"/>
    <xf numFmtId="164" fontId="7" fillId="0" borderId="4" xfId="1" applyNumberFormat="1" applyFont="1" applyBorder="1" applyAlignment="1">
      <alignment horizontal="center"/>
    </xf>
    <xf numFmtId="164" fontId="7" fillId="0" borderId="6" xfId="1" applyNumberFormat="1" applyFont="1" applyBorder="1"/>
    <xf numFmtId="164" fontId="6" fillId="0" borderId="5" xfId="1" applyNumberFormat="1" applyFont="1" applyBorder="1"/>
    <xf numFmtId="0" fontId="6" fillId="0" borderId="4" xfId="0" applyFont="1" applyBorder="1" applyAlignment="1">
      <alignment horizontal="center"/>
    </xf>
    <xf numFmtId="164" fontId="0" fillId="0" borderId="4" xfId="1" applyNumberFormat="1" applyFont="1" applyBorder="1"/>
    <xf numFmtId="0" fontId="6" fillId="0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43" fontId="6" fillId="0" borderId="8" xfId="0" applyNumberFormat="1" applyFont="1" applyBorder="1"/>
    <xf numFmtId="0" fontId="0" fillId="0" borderId="9" xfId="0" applyBorder="1" applyAlignment="1">
      <alignment horizontal="center"/>
    </xf>
    <xf numFmtId="0" fontId="11" fillId="0" borderId="10" xfId="0" applyFont="1" applyBorder="1"/>
    <xf numFmtId="0" fontId="0" fillId="0" borderId="3" xfId="0" applyBorder="1"/>
    <xf numFmtId="0" fontId="0" fillId="0" borderId="11" xfId="0" applyBorder="1"/>
    <xf numFmtId="0" fontId="0" fillId="0" borderId="5" xfId="0" applyFill="1" applyBorder="1" applyAlignment="1"/>
    <xf numFmtId="0" fontId="7" fillId="0" borderId="2" xfId="0" applyFont="1" applyFill="1" applyBorder="1" applyAlignment="1"/>
    <xf numFmtId="0" fontId="7" fillId="0" borderId="2" xfId="0" applyFont="1" applyBorder="1" applyAlignment="1"/>
    <xf numFmtId="164" fontId="0" fillId="0" borderId="2" xfId="0" applyNumberForma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164" fontId="6" fillId="0" borderId="12" xfId="1" applyNumberFormat="1" applyFont="1" applyBorder="1"/>
    <xf numFmtId="0" fontId="6" fillId="0" borderId="0" xfId="0" applyFont="1" applyAlignment="1">
      <alignment horizontal="center"/>
    </xf>
  </cellXfs>
  <cellStyles count="26">
    <cellStyle name="20% - הדגשה1 2" xfId="3"/>
    <cellStyle name="20% - הדגשה2 2" xfId="4"/>
    <cellStyle name="20% - הדגשה3 2" xfId="5"/>
    <cellStyle name="20% - הדגשה4 2" xfId="6"/>
    <cellStyle name="20% - הדגשה5 2" xfId="7"/>
    <cellStyle name="20% - הדגשה6 2" xfId="8"/>
    <cellStyle name="40% - הדגשה1 2" xfId="9"/>
    <cellStyle name="40% - הדגשה2 2" xfId="10"/>
    <cellStyle name="40% - הדגשה3 2" xfId="11"/>
    <cellStyle name="40% - הדגשה4 2" xfId="12"/>
    <cellStyle name="40% - הדגשה5 2" xfId="13"/>
    <cellStyle name="40% - הדגשה6 2" xfId="14"/>
    <cellStyle name="Comma" xfId="1" builtinId="3"/>
    <cellStyle name="Comma 2" xfId="15"/>
    <cellStyle name="Comma 2 2" xfId="16"/>
    <cellStyle name="Normal" xfId="0" builtinId="0"/>
    <cellStyle name="Normal 2" xfId="18"/>
    <cellStyle name="Normal 2 2" xfId="19"/>
    <cellStyle name="Normal 2_רשימת חלבנים מהסאפ" xfId="20"/>
    <cellStyle name="Normal 3" xfId="21"/>
    <cellStyle name="Normal 4" xfId="22"/>
    <cellStyle name="Normal 5" xfId="23"/>
    <cellStyle name="Normal_גיליון1" xfId="17"/>
    <cellStyle name="Normal_גיליון1_1" xfId="25"/>
    <cellStyle name="Percent" xfId="2" builtinId="5"/>
    <cellStyle name="הערה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3"/>
  <sheetViews>
    <sheetView rightToLeft="1" tabSelected="1" topLeftCell="E1" workbookViewId="0">
      <selection activeCell="L11" sqref="L11:M21"/>
    </sheetView>
  </sheetViews>
  <sheetFormatPr defaultRowHeight="14.25"/>
  <cols>
    <col min="1" max="1" width="6.75" customWidth="1"/>
    <col min="2" max="2" width="12.875" customWidth="1"/>
    <col min="3" max="3" width="11.375" customWidth="1"/>
    <col min="4" max="4" width="14.625" customWidth="1"/>
    <col min="5" max="5" width="12.375" bestFit="1" customWidth="1"/>
    <col min="6" max="6" width="14" customWidth="1"/>
    <col min="7" max="7" width="15.625" customWidth="1"/>
    <col min="8" max="8" width="13" customWidth="1"/>
    <col min="9" max="9" width="13.375" customWidth="1"/>
    <col min="10" max="10" width="11" customWidth="1"/>
    <col min="11" max="12" width="9.875" bestFit="1" customWidth="1"/>
    <col min="14" max="14" width="14" customWidth="1"/>
    <col min="15" max="15" width="12.875" customWidth="1"/>
  </cols>
  <sheetData>
    <row r="2" spans="1:12" ht="15" thickBot="1">
      <c r="D2" t="s">
        <v>26</v>
      </c>
      <c r="E2" s="27" t="s">
        <v>45</v>
      </c>
    </row>
    <row r="3" spans="1:12">
      <c r="E3" s="3"/>
    </row>
    <row r="4" spans="1:12" ht="15" thickBot="1">
      <c r="B4" s="5"/>
      <c r="D4" t="s">
        <v>27</v>
      </c>
      <c r="E4" s="27" t="s">
        <v>33</v>
      </c>
    </row>
    <row r="5" spans="1:12">
      <c r="B5" s="5"/>
      <c r="E5" s="3"/>
    </row>
    <row r="6" spans="1:12">
      <c r="B6" s="5"/>
      <c r="D6" t="s">
        <v>28</v>
      </c>
      <c r="E6" s="82">
        <v>1</v>
      </c>
      <c r="F6" s="4" t="s">
        <v>1</v>
      </c>
      <c r="G6" s="4"/>
      <c r="H6" s="4"/>
    </row>
    <row r="8" spans="1:12">
      <c r="D8" t="s">
        <v>17</v>
      </c>
      <c r="E8" s="74">
        <v>5000000</v>
      </c>
      <c r="F8" t="s">
        <v>0</v>
      </c>
    </row>
    <row r="9" spans="1:12">
      <c r="D9" s="10"/>
      <c r="E9" s="10"/>
      <c r="F9" s="10"/>
      <c r="G9" s="10"/>
      <c r="H9" s="10"/>
    </row>
    <row r="10" spans="1:12" ht="42.75">
      <c r="B10" s="2" t="s">
        <v>2</v>
      </c>
      <c r="C10" s="14" t="s">
        <v>3</v>
      </c>
      <c r="D10" s="10"/>
      <c r="E10" s="10" t="s">
        <v>29</v>
      </c>
      <c r="F10" s="10" t="s">
        <v>30</v>
      </c>
      <c r="G10" s="10" t="s">
        <v>31</v>
      </c>
      <c r="H10" s="16" t="s">
        <v>32</v>
      </c>
      <c r="K10" s="42"/>
      <c r="L10" s="42"/>
    </row>
    <row r="11" spans="1:12">
      <c r="A11" s="83"/>
      <c r="B11" s="1">
        <v>9.43</v>
      </c>
      <c r="C11" s="15">
        <v>8.4600000000000009</v>
      </c>
      <c r="D11" s="8" t="s">
        <v>4</v>
      </c>
      <c r="E11" s="17">
        <f t="shared" ref="E11:E22" si="0">IF($E$6=1,C11,B11)</f>
        <v>8.4600000000000009</v>
      </c>
      <c r="F11" s="18">
        <f>$E$8*E11/100</f>
        <v>423000.00000000006</v>
      </c>
      <c r="G11" s="79">
        <f>F11*0.9</f>
        <v>380700.00000000006</v>
      </c>
      <c r="H11" s="30">
        <v>1.9621999999999999</v>
      </c>
      <c r="K11" s="43"/>
      <c r="L11" s="42"/>
    </row>
    <row r="12" spans="1:12">
      <c r="A12" s="83"/>
      <c r="B12" s="1">
        <v>8.86</v>
      </c>
      <c r="C12" s="15">
        <v>7.73</v>
      </c>
      <c r="D12" s="8" t="s">
        <v>5</v>
      </c>
      <c r="E12" s="17">
        <f t="shared" si="0"/>
        <v>7.73</v>
      </c>
      <c r="F12" s="18">
        <f t="shared" ref="F12:F22" si="1">$E$8*E12/100</f>
        <v>386500</v>
      </c>
      <c r="G12" s="79">
        <f t="shared" ref="G12:G14" si="2">F12*0.9</f>
        <v>347850</v>
      </c>
      <c r="H12" s="6">
        <f>H11</f>
        <v>1.9621999999999999</v>
      </c>
      <c r="K12" s="43"/>
      <c r="L12" s="42"/>
    </row>
    <row r="13" spans="1:12">
      <c r="A13" s="83"/>
      <c r="B13" s="1">
        <v>10</v>
      </c>
      <c r="C13" s="15">
        <v>8.8699999999999992</v>
      </c>
      <c r="D13" s="8" t="s">
        <v>6</v>
      </c>
      <c r="E13" s="17">
        <f t="shared" si="0"/>
        <v>8.8699999999999992</v>
      </c>
      <c r="F13" s="18">
        <f t="shared" si="1"/>
        <v>443499.99999999994</v>
      </c>
      <c r="G13" s="79">
        <f t="shared" si="2"/>
        <v>399149.99999999994</v>
      </c>
      <c r="H13" s="6">
        <f>H12</f>
        <v>1.9621999999999999</v>
      </c>
      <c r="K13" s="43"/>
      <c r="L13" s="42"/>
    </row>
    <row r="14" spans="1:12">
      <c r="A14" s="83"/>
      <c r="B14" s="1">
        <v>9.39</v>
      </c>
      <c r="C14" s="15">
        <v>8.68</v>
      </c>
      <c r="D14" s="8" t="s">
        <v>7</v>
      </c>
      <c r="E14" s="17">
        <f t="shared" si="0"/>
        <v>8.68</v>
      </c>
      <c r="F14" s="18">
        <f t="shared" si="1"/>
        <v>434000</v>
      </c>
      <c r="G14" s="79">
        <f t="shared" si="2"/>
        <v>390600</v>
      </c>
      <c r="H14" s="30">
        <v>1.9456</v>
      </c>
      <c r="K14" s="44"/>
      <c r="L14" s="42"/>
    </row>
    <row r="15" spans="1:12">
      <c r="A15" s="83"/>
      <c r="B15" s="1">
        <v>9.2100000000000009</v>
      </c>
      <c r="C15" s="15">
        <v>9.07</v>
      </c>
      <c r="D15" s="23" t="s">
        <v>8</v>
      </c>
      <c r="E15" s="24">
        <f t="shared" si="0"/>
        <v>9.07</v>
      </c>
      <c r="F15" s="25">
        <f t="shared" si="1"/>
        <v>453500</v>
      </c>
      <c r="G15" s="80">
        <f>F15*1.1</f>
        <v>498850.00000000006</v>
      </c>
      <c r="H15" s="7">
        <f t="shared" ref="H15:H22" si="3">H14</f>
        <v>1.9456</v>
      </c>
      <c r="K15" s="43"/>
      <c r="L15" s="42"/>
    </row>
    <row r="16" spans="1:12">
      <c r="A16" s="83"/>
      <c r="B16" s="1">
        <v>8.3699999999999992</v>
      </c>
      <c r="C16" s="15">
        <v>8.48</v>
      </c>
      <c r="D16" s="23" t="s">
        <v>9</v>
      </c>
      <c r="E16" s="24">
        <f t="shared" si="0"/>
        <v>8.48</v>
      </c>
      <c r="F16" s="25">
        <f t="shared" si="1"/>
        <v>424000</v>
      </c>
      <c r="G16" s="80">
        <f t="shared" ref="G16:G20" si="4">F16*1.1</f>
        <v>466400.00000000006</v>
      </c>
      <c r="H16" s="7">
        <f t="shared" si="3"/>
        <v>1.9456</v>
      </c>
      <c r="K16" s="43"/>
      <c r="L16" s="42"/>
    </row>
    <row r="17" spans="1:12">
      <c r="A17" s="83"/>
      <c r="B17" s="1">
        <v>7.96</v>
      </c>
      <c r="C17" s="15">
        <v>8.3699999999999992</v>
      </c>
      <c r="D17" s="23" t="s">
        <v>10</v>
      </c>
      <c r="E17" s="24">
        <f t="shared" si="0"/>
        <v>8.3699999999999992</v>
      </c>
      <c r="F17" s="25">
        <f t="shared" si="1"/>
        <v>418499.99999999994</v>
      </c>
      <c r="G17" s="80">
        <f t="shared" si="4"/>
        <v>460350</v>
      </c>
      <c r="H17" s="31">
        <f t="shared" si="3"/>
        <v>1.9456</v>
      </c>
      <c r="K17" s="43"/>
      <c r="L17" s="42"/>
    </row>
    <row r="18" spans="1:12">
      <c r="A18" s="83"/>
      <c r="B18" s="1">
        <v>6.77</v>
      </c>
      <c r="C18" s="15">
        <v>8.0299999999999994</v>
      </c>
      <c r="D18" s="23" t="s">
        <v>11</v>
      </c>
      <c r="E18" s="24">
        <f t="shared" si="0"/>
        <v>8.0299999999999994</v>
      </c>
      <c r="F18" s="25">
        <f t="shared" si="1"/>
        <v>401500</v>
      </c>
      <c r="G18" s="80">
        <f t="shared" si="4"/>
        <v>441650.00000000006</v>
      </c>
      <c r="H18" s="7">
        <f t="shared" si="3"/>
        <v>1.9456</v>
      </c>
      <c r="K18" s="43"/>
      <c r="L18" s="42"/>
    </row>
    <row r="19" spans="1:12">
      <c r="A19" s="83"/>
      <c r="B19" s="1">
        <v>5.95</v>
      </c>
      <c r="C19" s="15">
        <v>7.66</v>
      </c>
      <c r="D19" s="23" t="s">
        <v>12</v>
      </c>
      <c r="E19" s="24">
        <f t="shared" si="0"/>
        <v>7.66</v>
      </c>
      <c r="F19" s="25">
        <f t="shared" si="1"/>
        <v>383000</v>
      </c>
      <c r="G19" s="80">
        <f t="shared" si="4"/>
        <v>421300.00000000006</v>
      </c>
      <c r="H19" s="7">
        <f t="shared" si="3"/>
        <v>1.9456</v>
      </c>
      <c r="K19" s="43"/>
      <c r="L19" s="42"/>
    </row>
    <row r="20" spans="1:12">
      <c r="A20" s="83"/>
      <c r="B20" s="1">
        <v>6.87</v>
      </c>
      <c r="C20" s="15">
        <v>8.0500000000000007</v>
      </c>
      <c r="D20" s="23" t="s">
        <v>13</v>
      </c>
      <c r="E20" s="24">
        <f t="shared" si="0"/>
        <v>8.0500000000000007</v>
      </c>
      <c r="F20" s="25">
        <f t="shared" si="1"/>
        <v>402500</v>
      </c>
      <c r="G20" s="80">
        <f t="shared" si="4"/>
        <v>442750.00000000006</v>
      </c>
      <c r="H20" s="31">
        <f t="shared" si="3"/>
        <v>1.9456</v>
      </c>
      <c r="K20" s="45"/>
      <c r="L20" s="42"/>
    </row>
    <row r="21" spans="1:12">
      <c r="A21" s="83"/>
      <c r="B21" s="1">
        <v>7.9</v>
      </c>
      <c r="C21" s="15">
        <v>8</v>
      </c>
      <c r="D21" s="75" t="s">
        <v>14</v>
      </c>
      <c r="E21" s="76">
        <f t="shared" si="0"/>
        <v>8</v>
      </c>
      <c r="F21" s="77">
        <f t="shared" si="1"/>
        <v>400000</v>
      </c>
      <c r="G21" s="81">
        <f>F21*1</f>
        <v>400000</v>
      </c>
      <c r="H21" s="78">
        <f t="shared" si="3"/>
        <v>1.9456</v>
      </c>
      <c r="K21" s="43"/>
      <c r="L21" s="42"/>
    </row>
    <row r="22" spans="1:12">
      <c r="B22" s="1">
        <v>9.2899999999999991</v>
      </c>
      <c r="C22" s="15">
        <v>8.6</v>
      </c>
      <c r="D22" s="75" t="s">
        <v>15</v>
      </c>
      <c r="E22" s="76">
        <f t="shared" si="0"/>
        <v>8.6</v>
      </c>
      <c r="F22" s="77">
        <f t="shared" si="1"/>
        <v>430000</v>
      </c>
      <c r="G22" s="81">
        <f>F22*1</f>
        <v>430000</v>
      </c>
      <c r="H22" s="78">
        <f t="shared" si="3"/>
        <v>1.9456</v>
      </c>
      <c r="J22" s="28"/>
      <c r="K22" s="44"/>
      <c r="L22" s="42"/>
    </row>
    <row r="23" spans="1:12" ht="15">
      <c r="D23" s="12" t="s">
        <v>20</v>
      </c>
      <c r="E23" s="19">
        <f>SUM(E11:E22)</f>
        <v>99.999999999999986</v>
      </c>
      <c r="F23" s="20">
        <f>SUM(F11:F22)</f>
        <v>5000000</v>
      </c>
      <c r="G23" s="20">
        <f>SUM(G11:G22)</f>
        <v>5079600</v>
      </c>
      <c r="H23" s="21">
        <f>AVERAGE(H11:H22)</f>
        <v>1.9497499999999999</v>
      </c>
      <c r="J23" s="29"/>
      <c r="L23" s="42"/>
    </row>
    <row r="24" spans="1:12" ht="15">
      <c r="A24" s="83"/>
      <c r="D24" s="32"/>
      <c r="E24" s="33"/>
      <c r="F24" s="34"/>
      <c r="G24" s="34"/>
      <c r="H24" s="34"/>
      <c r="I24" s="35"/>
      <c r="J24" s="29"/>
      <c r="K24" s="42"/>
      <c r="L24" s="42"/>
    </row>
    <row r="25" spans="1:12" ht="15">
      <c r="A25" s="83"/>
      <c r="C25" s="10"/>
      <c r="D25" s="12"/>
      <c r="E25" s="19"/>
      <c r="F25" s="88"/>
      <c r="G25" s="91" t="s">
        <v>53</v>
      </c>
      <c r="H25" s="34"/>
      <c r="I25" s="92"/>
      <c r="J25" s="12"/>
      <c r="L25" s="42"/>
    </row>
    <row r="26" spans="1:12" ht="15">
      <c r="C26" s="36"/>
      <c r="D26" s="67" t="s">
        <v>16</v>
      </c>
      <c r="E26" s="85" t="s">
        <v>19</v>
      </c>
      <c r="F26" s="89" t="s">
        <v>20</v>
      </c>
      <c r="G26" s="90" t="s">
        <v>25</v>
      </c>
      <c r="H26" s="34"/>
      <c r="I26" s="35"/>
      <c r="J26" s="29"/>
      <c r="K26" s="42"/>
      <c r="L26" s="42"/>
    </row>
    <row r="27" spans="1:12" ht="15">
      <c r="C27" s="36" t="s">
        <v>17</v>
      </c>
      <c r="D27" s="86">
        <f>F27-E27</f>
        <v>2517000</v>
      </c>
      <c r="E27" s="55">
        <f>SUM(F15:F20)</f>
        <v>2483000</v>
      </c>
      <c r="F27" s="55">
        <f>F23</f>
        <v>5000000</v>
      </c>
      <c r="G27" s="90">
        <f>SUM(F11:F14)</f>
        <v>1687000</v>
      </c>
      <c r="H27" s="34"/>
      <c r="I27" s="35"/>
      <c r="J27" s="29"/>
      <c r="K27" s="42"/>
      <c r="L27" s="42"/>
    </row>
    <row r="28" spans="1:12" ht="15">
      <c r="C28" s="36" t="s">
        <v>18</v>
      </c>
      <c r="D28" s="86">
        <f>F28-E28</f>
        <v>2348300</v>
      </c>
      <c r="E28" s="55">
        <f>SUM(G15:G20)</f>
        <v>2731300</v>
      </c>
      <c r="F28" s="55">
        <f>G23</f>
        <v>5079600</v>
      </c>
      <c r="G28" s="55">
        <f>SUM(G11:G14)</f>
        <v>1518300</v>
      </c>
      <c r="H28" s="34"/>
      <c r="I28" s="35"/>
      <c r="J28" s="29"/>
      <c r="K28" s="42"/>
      <c r="L28" s="42"/>
    </row>
    <row r="29" spans="1:12" ht="15">
      <c r="C29" s="36" t="s">
        <v>46</v>
      </c>
      <c r="D29" s="86">
        <f>F29-E29</f>
        <v>0</v>
      </c>
      <c r="E29" s="55">
        <f>MIN(F29,MAX(E28-E27,0))</f>
        <v>79600</v>
      </c>
      <c r="F29" s="55">
        <f>MAX(F28-F27,0)</f>
        <v>79600</v>
      </c>
      <c r="G29" s="55">
        <f>MAX(G28-G27,0)</f>
        <v>0</v>
      </c>
      <c r="H29" s="34"/>
      <c r="I29" s="35"/>
      <c r="J29" s="29"/>
      <c r="K29" s="42"/>
      <c r="L29" s="42"/>
    </row>
    <row r="30" spans="1:12" ht="15">
      <c r="C30" s="26" t="s">
        <v>57</v>
      </c>
      <c r="D30" s="87">
        <f>D29/D27</f>
        <v>0</v>
      </c>
      <c r="E30" s="87">
        <f t="shared" ref="E30:G30" si="5">E29/E27</f>
        <v>3.2057994361659285E-2</v>
      </c>
      <c r="F30" s="87">
        <f t="shared" si="5"/>
        <v>1.592E-2</v>
      </c>
      <c r="G30" s="87">
        <f t="shared" si="5"/>
        <v>0</v>
      </c>
      <c r="H30" s="34"/>
      <c r="I30" s="35"/>
      <c r="J30" s="29"/>
      <c r="K30" s="42"/>
      <c r="L30" s="42"/>
    </row>
    <row r="31" spans="1:12" ht="15">
      <c r="C31" s="46"/>
      <c r="D31" s="48"/>
      <c r="E31" s="47"/>
      <c r="F31" s="47"/>
      <c r="G31" s="47"/>
      <c r="H31" s="34"/>
      <c r="I31" s="35"/>
      <c r="J31" s="29"/>
      <c r="K31" s="42"/>
      <c r="L31" s="42"/>
    </row>
    <row r="32" spans="1:12" ht="15.75" thickBot="1">
      <c r="C32" s="46" t="s">
        <v>47</v>
      </c>
      <c r="D32" s="49">
        <f>J49</f>
        <v>0</v>
      </c>
      <c r="E32" s="50">
        <f>J50</f>
        <v>0.03</v>
      </c>
      <c r="F32" s="34"/>
      <c r="H32" s="34"/>
      <c r="I32" s="35"/>
      <c r="J32" s="29"/>
      <c r="K32" s="42"/>
      <c r="L32" s="42"/>
    </row>
    <row r="33" spans="1:12" ht="15.75" thickBot="1">
      <c r="C33" s="94" t="s">
        <v>62</v>
      </c>
      <c r="D33" s="92" t="s">
        <v>61</v>
      </c>
      <c r="E33" s="12" t="s">
        <v>60</v>
      </c>
      <c r="F33" s="106" t="s">
        <v>20</v>
      </c>
      <c r="G33" s="107">
        <f>MAX(G28-(J47*G27+G27),0)</f>
        <v>0</v>
      </c>
      <c r="I33" s="37" t="s">
        <v>43</v>
      </c>
      <c r="J33" s="37" t="s">
        <v>21</v>
      </c>
      <c r="K33" s="37" t="s">
        <v>22</v>
      </c>
      <c r="L33" s="42"/>
    </row>
    <row r="34" spans="1:12" ht="15">
      <c r="C34" s="36" t="s">
        <v>48</v>
      </c>
      <c r="D34" s="18">
        <f>MIN(D29,D32*D27)</f>
        <v>0</v>
      </c>
      <c r="E34" s="93">
        <f>MIN(E29,E32*E27)</f>
        <v>74490</v>
      </c>
      <c r="F34" s="20">
        <f>D34+E34</f>
        <v>74490</v>
      </c>
      <c r="G34" s="34"/>
      <c r="I34" s="36" t="s">
        <v>16</v>
      </c>
      <c r="J34" s="39">
        <v>0.35</v>
      </c>
      <c r="K34" s="39">
        <v>0.35</v>
      </c>
      <c r="L34" s="42"/>
    </row>
    <row r="35" spans="1:12" ht="15">
      <c r="C35" s="36" t="s">
        <v>49</v>
      </c>
      <c r="D35" s="18">
        <f>D29-D34</f>
        <v>0</v>
      </c>
      <c r="E35" s="93">
        <f>E29-E34</f>
        <v>5110</v>
      </c>
      <c r="F35" s="20">
        <f>D35+E35</f>
        <v>5110</v>
      </c>
      <c r="G35" s="34"/>
      <c r="I35" s="36" t="s">
        <v>19</v>
      </c>
      <c r="J35" s="39">
        <v>0.75</v>
      </c>
      <c r="K35" s="39">
        <v>0.35</v>
      </c>
      <c r="L35" s="42"/>
    </row>
    <row r="36" spans="1:12" ht="15">
      <c r="C36" s="94" t="s">
        <v>20</v>
      </c>
      <c r="D36" s="11">
        <f>SUM(D34:D35)</f>
        <v>0</v>
      </c>
      <c r="E36" s="13">
        <f>SUM(E34:E35)</f>
        <v>79600</v>
      </c>
      <c r="F36" s="13">
        <f>SUM(F34:F35)</f>
        <v>79600</v>
      </c>
      <c r="I36" s="34"/>
      <c r="J36" s="35"/>
      <c r="K36" s="29"/>
      <c r="L36" s="42"/>
    </row>
    <row r="37" spans="1:12">
      <c r="I37" s="37" t="s">
        <v>44</v>
      </c>
      <c r="J37" s="37" t="s">
        <v>21</v>
      </c>
      <c r="K37" s="37" t="s">
        <v>22</v>
      </c>
      <c r="L37" s="51" t="s">
        <v>50</v>
      </c>
    </row>
    <row r="38" spans="1:12" ht="15">
      <c r="C38" s="12" t="s">
        <v>63</v>
      </c>
      <c r="D38" s="8" t="s">
        <v>16</v>
      </c>
      <c r="E38" s="8" t="s">
        <v>19</v>
      </c>
      <c r="F38" s="57" t="s">
        <v>20</v>
      </c>
      <c r="G38" s="56"/>
      <c r="I38" s="36" t="s">
        <v>16</v>
      </c>
      <c r="J38" s="38">
        <f>1-J34</f>
        <v>0.65</v>
      </c>
      <c r="K38" s="38">
        <f>1-K34</f>
        <v>0.65</v>
      </c>
      <c r="L38" s="52">
        <f>(H11+H12+H13+H14+H21+H22)/6</f>
        <v>1.9539</v>
      </c>
    </row>
    <row r="39" spans="1:12" ht="15">
      <c r="C39" s="10" t="s">
        <v>51</v>
      </c>
      <c r="D39" s="18">
        <f>D34*J43</f>
        <v>0</v>
      </c>
      <c r="E39" s="55">
        <f>E34*J44</f>
        <v>36231.936000000002</v>
      </c>
      <c r="F39" s="71">
        <f>D39+E39</f>
        <v>36231.936000000002</v>
      </c>
      <c r="G39" s="34"/>
      <c r="I39" s="36" t="s">
        <v>19</v>
      </c>
      <c r="J39" s="38">
        <f>1-J35</f>
        <v>0.25</v>
      </c>
      <c r="K39" s="38">
        <f>1-K35</f>
        <v>0.65</v>
      </c>
      <c r="L39" s="53">
        <f>AVERAGE(H15:H20)</f>
        <v>1.9456</v>
      </c>
    </row>
    <row r="40" spans="1:12" ht="15">
      <c r="C40" s="10" t="s">
        <v>52</v>
      </c>
      <c r="D40" s="18">
        <f>D35*K43</f>
        <v>0</v>
      </c>
      <c r="E40" s="55">
        <f>E35*K44</f>
        <v>6462.3104000000003</v>
      </c>
      <c r="F40" s="71">
        <f t="shared" ref="F40:F41" si="6">D40+E40</f>
        <v>6462.3104000000003</v>
      </c>
      <c r="G40" s="34"/>
      <c r="I40" s="34"/>
      <c r="J40" s="35"/>
      <c r="K40" s="29"/>
      <c r="L40" s="53">
        <f>AVERAGE(H11:H22)</f>
        <v>1.9497499999999999</v>
      </c>
    </row>
    <row r="41" spans="1:12" ht="15">
      <c r="C41" s="58" t="s">
        <v>35</v>
      </c>
      <c r="D41" s="41">
        <f>SUM(D39:D40)</f>
        <v>0</v>
      </c>
      <c r="E41" s="41">
        <f>SUM(E39:E40)</f>
        <v>42694.246400000004</v>
      </c>
      <c r="F41" s="71">
        <f t="shared" si="6"/>
        <v>42694.246400000004</v>
      </c>
      <c r="G41" s="34"/>
      <c r="L41" s="42"/>
    </row>
    <row r="42" spans="1:12" ht="15">
      <c r="C42" s="54" t="s">
        <v>34</v>
      </c>
      <c r="D42" s="12"/>
      <c r="E42" s="19"/>
      <c r="F42" s="73">
        <f>G33*J45</f>
        <v>0</v>
      </c>
      <c r="G42" s="34"/>
      <c r="I42" s="70" t="s">
        <v>67</v>
      </c>
      <c r="J42" s="37" t="s">
        <v>21</v>
      </c>
      <c r="K42" s="37" t="s">
        <v>22</v>
      </c>
      <c r="L42" s="42"/>
    </row>
    <row r="43" spans="1:12" ht="15">
      <c r="A43" s="3"/>
      <c r="B43" s="59"/>
      <c r="C43" s="102" t="s">
        <v>54</v>
      </c>
      <c r="D43" s="65"/>
      <c r="E43" s="66"/>
      <c r="F43" s="72">
        <f>F41+F42</f>
        <v>42694.246400000004</v>
      </c>
      <c r="G43" s="34"/>
      <c r="I43" s="36" t="s">
        <v>16</v>
      </c>
      <c r="J43" s="40">
        <f>J38*L38</f>
        <v>1.270035</v>
      </c>
      <c r="K43" s="40">
        <f>K38*L38</f>
        <v>1.270035</v>
      </c>
      <c r="L43" s="42"/>
    </row>
    <row r="44" spans="1:12" ht="15">
      <c r="A44" s="60"/>
      <c r="B44" s="60"/>
      <c r="C44" s="103" t="s">
        <v>55</v>
      </c>
      <c r="D44" s="67"/>
      <c r="E44" s="68"/>
      <c r="F44" s="40">
        <f>F43/F29</f>
        <v>0.53635987939698493</v>
      </c>
      <c r="G44" s="69">
        <f>F44/L40</f>
        <v>0.27509161656468006</v>
      </c>
      <c r="H44" s="34"/>
      <c r="I44" s="36" t="s">
        <v>19</v>
      </c>
      <c r="J44" s="40">
        <f>J39*L39</f>
        <v>0.4864</v>
      </c>
      <c r="K44" s="40">
        <f>K39*L39</f>
        <v>1.26464</v>
      </c>
      <c r="L44" s="42"/>
    </row>
    <row r="45" spans="1:12" ht="15">
      <c r="A45" s="61"/>
      <c r="B45" s="50"/>
      <c r="C45" s="104" t="s">
        <v>56</v>
      </c>
      <c r="D45" s="70"/>
      <c r="E45" s="68"/>
      <c r="F45" s="40">
        <f>F43/F28</f>
        <v>8.4050410268525083E-3</v>
      </c>
      <c r="G45" s="69">
        <f>F45/L40</f>
        <v>4.3108301201961836E-3</v>
      </c>
      <c r="H45" s="34"/>
      <c r="I45" s="64" t="s">
        <v>34</v>
      </c>
      <c r="J45" s="17">
        <v>0.5</v>
      </c>
      <c r="K45" s="42"/>
      <c r="L45" s="42"/>
    </row>
    <row r="46" spans="1:12" ht="15">
      <c r="A46" s="61"/>
      <c r="B46" s="50"/>
      <c r="C46" s="62"/>
      <c r="D46" s="32"/>
      <c r="E46" s="33"/>
      <c r="F46" s="34"/>
      <c r="G46" s="34"/>
      <c r="H46" s="34"/>
      <c r="I46" s="35"/>
      <c r="J46" s="29"/>
      <c r="K46" s="42"/>
      <c r="L46" s="42"/>
    </row>
    <row r="47" spans="1:12" ht="15">
      <c r="I47" t="s">
        <v>59</v>
      </c>
      <c r="J47" s="63">
        <v>0.15</v>
      </c>
    </row>
    <row r="48" spans="1:12" ht="15">
      <c r="I48" s="108" t="s">
        <v>68</v>
      </c>
    </row>
    <row r="49" spans="2:10" ht="15">
      <c r="B49" s="22" t="s">
        <v>42</v>
      </c>
      <c r="I49" t="s">
        <v>16</v>
      </c>
      <c r="J49" s="84">
        <v>0</v>
      </c>
    </row>
    <row r="50" spans="2:10">
      <c r="B50" s="10"/>
      <c r="C50" s="8" t="s">
        <v>17</v>
      </c>
      <c r="D50" s="8" t="s">
        <v>18</v>
      </c>
      <c r="E50" s="8" t="s">
        <v>23</v>
      </c>
      <c r="F50" s="8" t="s">
        <v>24</v>
      </c>
      <c r="I50" t="s">
        <v>19</v>
      </c>
      <c r="J50" s="84">
        <v>0.03</v>
      </c>
    </row>
    <row r="51" spans="2:10">
      <c r="B51" s="10" t="s">
        <v>25</v>
      </c>
      <c r="C51" s="11">
        <f>SUM(F11:F14)</f>
        <v>1687000</v>
      </c>
      <c r="D51" s="11">
        <f>SUM(G11:G14)</f>
        <v>1518300</v>
      </c>
      <c r="E51" s="11">
        <f>MAX(D51-C51,0)</f>
        <v>0</v>
      </c>
      <c r="F51" s="11">
        <f>MAX(C51-D51,0)</f>
        <v>168700</v>
      </c>
    </row>
    <row r="52" spans="2:10">
      <c r="B52" s="10" t="s">
        <v>58</v>
      </c>
      <c r="C52" s="11">
        <f>SUM(F15:F20)</f>
        <v>2483000</v>
      </c>
      <c r="D52" s="11">
        <f>SUM(G15:G20)</f>
        <v>2731300</v>
      </c>
      <c r="E52" s="11">
        <f t="shared" ref="E52" si="7">MAX(D52-C52,0)</f>
        <v>248300</v>
      </c>
      <c r="F52" s="11">
        <f t="shared" ref="F52" si="8">MAX(C52-D52,0)</f>
        <v>0</v>
      </c>
    </row>
    <row r="53" spans="2:10">
      <c r="B53" s="10" t="s">
        <v>36</v>
      </c>
      <c r="C53" s="10"/>
      <c r="D53" s="9">
        <v>0.3</v>
      </c>
    </row>
    <row r="54" spans="2:10">
      <c r="B54" s="10" t="s">
        <v>41</v>
      </c>
      <c r="C54" s="10"/>
      <c r="D54" s="17">
        <v>0.6</v>
      </c>
    </row>
    <row r="56" spans="2:10">
      <c r="B56" s="10" t="s">
        <v>37</v>
      </c>
      <c r="C56" s="105">
        <f>MIN(E51,F52)</f>
        <v>0</v>
      </c>
    </row>
    <row r="57" spans="2:10">
      <c r="B57" s="10" t="s">
        <v>38</v>
      </c>
      <c r="C57" s="18">
        <f>MIN(D53*C51,E52,F51)</f>
        <v>168700</v>
      </c>
    </row>
    <row r="58" spans="2:10">
      <c r="B58" s="10" t="s">
        <v>40</v>
      </c>
      <c r="C58" s="11">
        <f>C57-C56</f>
        <v>168700</v>
      </c>
    </row>
    <row r="59" spans="2:10" ht="15">
      <c r="B59" s="26" t="s">
        <v>39</v>
      </c>
      <c r="C59" s="13">
        <f>D54*C58</f>
        <v>101220</v>
      </c>
    </row>
    <row r="61" spans="2:10" ht="15" thickBot="1"/>
    <row r="62" spans="2:10" ht="15">
      <c r="B62" s="95" t="s">
        <v>64</v>
      </c>
      <c r="C62" s="96"/>
      <c r="D62" s="97">
        <f>F43-C59</f>
        <v>-58525.753599999996</v>
      </c>
      <c r="E62" s="98" t="s">
        <v>65</v>
      </c>
    </row>
    <row r="63" spans="2:10" ht="15" thickBot="1">
      <c r="B63" s="99" t="s">
        <v>66</v>
      </c>
      <c r="C63" s="100"/>
      <c r="D63" s="100"/>
      <c r="E63" s="101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Israel Dairy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liron</dc:creator>
  <cp:lastModifiedBy>secret</cp:lastModifiedBy>
  <dcterms:created xsi:type="dcterms:W3CDTF">2018-11-18T15:09:31Z</dcterms:created>
  <dcterms:modified xsi:type="dcterms:W3CDTF">2019-04-29T09:20:55Z</dcterms:modified>
</cp:coreProperties>
</file>